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checkCompatibility="1" autoCompressPictures="0"/>
  <bookViews>
    <workbookView xWindow="0" yWindow="0" windowWidth="22900" windowHeight="9020" firstSheet="3" activeTab="4"/>
  </bookViews>
  <sheets>
    <sheet name="v1" sheetId="1" state="hidden" r:id="rId1"/>
    <sheet name="v2" sheetId="2" state="hidden" r:id="rId2"/>
    <sheet name="Sheet3" sheetId="3" state="hidden" r:id="rId3"/>
    <sheet name="v3" sheetId="4" r:id="rId4"/>
    <sheet name="v4" sheetId="5" r:id="rId5"/>
  </sheets>
  <definedNames>
    <definedName name="_xlnm.Print_Area" localSheetId="0">'v1'!$C$2:$I$42</definedName>
    <definedName name="_xlnm.Print_Area" localSheetId="1">'v2'!$C$2:$I$55</definedName>
    <definedName name="_xlnm.Print_Area" localSheetId="3">'v3'!$C$2:$Q$45</definedName>
    <definedName name="_xlnm.Print_Area" localSheetId="4">'v4'!$B$2:$Q$96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0" i="5" l="1"/>
  <c r="I73" i="5"/>
  <c r="I80" i="5"/>
  <c r="H70" i="5"/>
  <c r="H73" i="5"/>
  <c r="H80" i="5"/>
  <c r="I12" i="5"/>
  <c r="I15" i="5"/>
  <c r="I19" i="5"/>
  <c r="I21" i="5"/>
  <c r="I23" i="5"/>
  <c r="I76" i="5"/>
  <c r="I77" i="5"/>
  <c r="H77" i="5"/>
  <c r="H15" i="5"/>
  <c r="H19" i="5"/>
  <c r="H21" i="5"/>
  <c r="H23" i="5"/>
  <c r="H76" i="5"/>
  <c r="Q108" i="5"/>
  <c r="Q109" i="5"/>
  <c r="Q113" i="5"/>
  <c r="Q111" i="5"/>
  <c r="Q112" i="5"/>
  <c r="Q110" i="5"/>
  <c r="Q107" i="5"/>
  <c r="F62" i="5"/>
  <c r="H59" i="5"/>
  <c r="F61" i="5"/>
  <c r="H51" i="5"/>
  <c r="G70" i="5"/>
  <c r="G71" i="5"/>
  <c r="M9" i="5"/>
  <c r="I78" i="5"/>
  <c r="I81" i="5"/>
  <c r="H78" i="5"/>
  <c r="H81" i="5"/>
  <c r="H35" i="5"/>
  <c r="H36" i="5"/>
  <c r="H42" i="5"/>
  <c r="H44" i="5"/>
  <c r="H94" i="5"/>
  <c r="G92" i="5"/>
  <c r="G59" i="5"/>
  <c r="G50" i="5"/>
  <c r="G51" i="5"/>
  <c r="G40" i="5"/>
  <c r="G42" i="5"/>
  <c r="G35" i="5"/>
  <c r="G36" i="5"/>
  <c r="G14" i="5"/>
  <c r="G15" i="5"/>
  <c r="G19" i="5"/>
  <c r="G21" i="5"/>
  <c r="G23" i="5"/>
  <c r="G87" i="5"/>
  <c r="G88" i="5"/>
  <c r="G89" i="5"/>
  <c r="G90" i="5"/>
  <c r="G91" i="5"/>
  <c r="G51" i="4"/>
  <c r="G52" i="4"/>
  <c r="G53" i="4"/>
  <c r="G54" i="4"/>
  <c r="G55" i="4"/>
  <c r="G56" i="4"/>
  <c r="H11" i="4"/>
  <c r="G11" i="4"/>
  <c r="I11" i="4"/>
  <c r="H9" i="4"/>
  <c r="I9" i="4"/>
  <c r="G9" i="4"/>
  <c r="I30" i="2"/>
  <c r="G30" i="2"/>
  <c r="I29" i="2"/>
  <c r="G29" i="2"/>
  <c r="G31" i="2"/>
  <c r="H29" i="2"/>
  <c r="H31" i="2"/>
  <c r="I24" i="2"/>
  <c r="I26" i="2"/>
  <c r="H24" i="2"/>
  <c r="H26" i="2"/>
  <c r="G24" i="2"/>
  <c r="G26" i="2"/>
  <c r="I17" i="2"/>
  <c r="I19" i="2"/>
  <c r="I20" i="2"/>
  <c r="H17" i="2"/>
  <c r="H19" i="2"/>
  <c r="H20" i="2"/>
  <c r="G17" i="2"/>
  <c r="G19" i="2"/>
  <c r="H9" i="2"/>
  <c r="H14" i="2"/>
  <c r="G9" i="2"/>
  <c r="G14" i="2"/>
  <c r="I9" i="2"/>
  <c r="I14" i="2"/>
  <c r="G20" i="2"/>
  <c r="G35" i="2"/>
  <c r="H35" i="2"/>
  <c r="I31" i="2"/>
  <c r="I35" i="2"/>
  <c r="I30" i="4"/>
  <c r="I31" i="4"/>
  <c r="I24" i="4"/>
  <c r="I26" i="4"/>
  <c r="I17" i="4"/>
  <c r="I19" i="4"/>
  <c r="I20" i="4"/>
  <c r="I35" i="4"/>
  <c r="G30" i="4"/>
  <c r="H31" i="4"/>
  <c r="G31" i="4"/>
  <c r="G24" i="4"/>
  <c r="G26" i="4"/>
  <c r="H24" i="4"/>
  <c r="H26" i="4"/>
  <c r="G17" i="4"/>
  <c r="G19" i="4"/>
  <c r="H17" i="4"/>
  <c r="H19" i="4"/>
  <c r="I14" i="4"/>
  <c r="G14" i="4"/>
  <c r="H14" i="4"/>
  <c r="H20" i="4"/>
  <c r="H35" i="4"/>
  <c r="G20" i="4"/>
  <c r="G35" i="4"/>
  <c r="H37" i="2"/>
  <c r="H39" i="2"/>
  <c r="H41" i="2"/>
  <c r="G37" i="2"/>
  <c r="G39" i="2"/>
  <c r="G41" i="2"/>
  <c r="I37" i="2"/>
  <c r="I39" i="2"/>
  <c r="I41" i="2"/>
  <c r="I37" i="4"/>
  <c r="I39" i="4"/>
  <c r="I41" i="4"/>
  <c r="H37" i="4"/>
  <c r="H39" i="4"/>
  <c r="H41" i="4"/>
  <c r="I30" i="1"/>
  <c r="G30" i="1"/>
  <c r="H29" i="1"/>
  <c r="I29" i="1"/>
  <c r="G29" i="1"/>
  <c r="H24" i="1"/>
  <c r="I24" i="1"/>
  <c r="G24" i="1"/>
  <c r="H17" i="1"/>
  <c r="I17" i="1"/>
  <c r="G17" i="1"/>
  <c r="H9" i="1"/>
  <c r="I9" i="1"/>
  <c r="G9" i="1"/>
  <c r="H31" i="1"/>
  <c r="I31" i="1"/>
  <c r="G31" i="1"/>
  <c r="H26" i="1"/>
  <c r="I26" i="1"/>
  <c r="G26" i="1"/>
  <c r="H19" i="1"/>
  <c r="H20" i="1"/>
  <c r="I19" i="1"/>
  <c r="I20" i="1"/>
  <c r="G19" i="1"/>
  <c r="G20" i="1"/>
  <c r="H14" i="1"/>
  <c r="I14" i="1"/>
  <c r="G14" i="1"/>
  <c r="G35" i="1"/>
  <c r="G37" i="1"/>
  <c r="G39" i="1"/>
  <c r="G41" i="1"/>
  <c r="I35" i="1"/>
  <c r="I37" i="1"/>
  <c r="I39" i="1"/>
  <c r="I41" i="1"/>
  <c r="H35" i="1"/>
  <c r="H37" i="1"/>
  <c r="H39" i="1"/>
  <c r="H41" i="1"/>
  <c r="G37" i="4"/>
  <c r="G39" i="4"/>
  <c r="G41" i="4"/>
  <c r="G73" i="5"/>
  <c r="G76" i="5"/>
</calcChain>
</file>

<file path=xl/sharedStrings.xml><?xml version="1.0" encoding="utf-8"?>
<sst xmlns="http://schemas.openxmlformats.org/spreadsheetml/2006/main" count="242" uniqueCount="114">
  <si>
    <t>SBCC/EE SUMMIT CONFERENCE 2018</t>
  </si>
  <si>
    <t>JHU SCHOOL OF PUBLIC HEALTH - CCP</t>
  </si>
  <si>
    <t>SUMMARY PRELIMINARY BUDGET AS OF 24 MAY 2017</t>
  </si>
  <si>
    <t>Revenues</t>
  </si>
  <si>
    <t>Registration Fees</t>
  </si>
  <si>
    <t>Attendees</t>
  </si>
  <si>
    <t>Donor contributions</t>
  </si>
  <si>
    <t>Sponsorships</t>
  </si>
  <si>
    <t>Booths/exhibits</t>
  </si>
  <si>
    <t>Other revenue</t>
  </si>
  <si>
    <t>Total Revenues</t>
  </si>
  <si>
    <t>Expenses</t>
  </si>
  <si>
    <t>Salary - HQ</t>
  </si>
  <si>
    <t>Salary - Field</t>
  </si>
  <si>
    <t>Fringe benefits</t>
  </si>
  <si>
    <t>Subtotal Salary/Fringe</t>
  </si>
  <si>
    <t>Consultants</t>
  </si>
  <si>
    <t>International travel</t>
  </si>
  <si>
    <t>Local travel</t>
  </si>
  <si>
    <t>Subtotal Travel</t>
  </si>
  <si>
    <t>Venue</t>
  </si>
  <si>
    <t>Event Organizer</t>
  </si>
  <si>
    <t>Other</t>
  </si>
  <si>
    <t>Subtotal Activity</t>
  </si>
  <si>
    <t>ODC</t>
  </si>
  <si>
    <t>Subtotal Direct Costs</t>
  </si>
  <si>
    <t>IDC (20% weighted rate)</t>
  </si>
  <si>
    <t>Total Expenses</t>
  </si>
  <si>
    <t>Revenues less Expenses</t>
  </si>
  <si>
    <t>Assumptions</t>
  </si>
  <si>
    <t>local registrations, the rest pay $325</t>
  </si>
  <si>
    <t>LOE</t>
  </si>
  <si>
    <t>Program people</t>
  </si>
  <si>
    <t>Finance people</t>
  </si>
  <si>
    <t>Admin people</t>
  </si>
  <si>
    <t>LOE for each</t>
  </si>
  <si>
    <t>Int'l travel</t>
  </si>
  <si>
    <t>trips</t>
  </si>
  <si>
    <t>average cost per trip</t>
  </si>
  <si>
    <t>Event organizer - use 75% of ICFP cost</t>
  </si>
  <si>
    <t>ICFP cost</t>
  </si>
  <si>
    <t>local registrations, the rest pay $500</t>
  </si>
  <si>
    <t>Event organizer - use 50% of ICFP cost at 1,200 attendee level</t>
  </si>
  <si>
    <t>SUMMARY PRELIMINARY BUDGET AS OF 31 MAY 2017</t>
  </si>
  <si>
    <t>Notes</t>
  </si>
  <si>
    <t>Average booth cost = $1,000</t>
  </si>
  <si>
    <t>4 Program, 2 Fin, 2 Admin @ 10% LOE each</t>
  </si>
  <si>
    <t>Using 34% rate</t>
  </si>
  <si>
    <t>12 trips @ $4,700 cost/trip</t>
  </si>
  <si>
    <t>Per BNDCC (2) bid</t>
  </si>
  <si>
    <t>Includes Speakers, "Lions' Den", Opening Ceremony/Meet &amp; Greet</t>
  </si>
  <si>
    <t>Includes participant items e.g. bags, lanyards, badges, programs</t>
  </si>
  <si>
    <t>Event Organizer(1)</t>
  </si>
  <si>
    <t>(1) Includes transport services, personnel costs, language interpretation, communication, AV services, administrative fees and VAT.</t>
  </si>
  <si>
    <t>Developing country registrations, the rest pay $400</t>
  </si>
  <si>
    <t>Developing Country Nationals (30%) pay $200, others (70%) pay $400</t>
  </si>
  <si>
    <t>Sponsorship levels</t>
  </si>
  <si>
    <t>Bronze</t>
  </si>
  <si>
    <t>Silver</t>
  </si>
  <si>
    <t>Gold</t>
  </si>
  <si>
    <t>Platinum</t>
  </si>
  <si>
    <t>Diamond</t>
  </si>
  <si>
    <t>Levels - Diamond $50K, Platinum 25K, Gold 10K, Silver 7.5K, Bronze 3K</t>
  </si>
  <si>
    <t xml:space="preserve">    Received bids from Melali MICE $302K, QuadEvent $615K and Royalindo $757K.</t>
  </si>
  <si>
    <t>Figures reflect the "middle ground" of bids received.  See also (1) below.</t>
  </si>
  <si>
    <t>Developing country registrations, the rest pay $500</t>
  </si>
  <si>
    <t>Includes Speakers, Opening Ceremony/Meet &amp; Greet</t>
  </si>
  <si>
    <t>3 Program, 2 Fin, 2 Admin @ 10% LOE each</t>
  </si>
  <si>
    <t>10 trips @ $4,700 cost/trip</t>
  </si>
  <si>
    <t>Developing Country Nationals (50%) pay $300, others (50%) pay $500</t>
  </si>
  <si>
    <t>Honoraria</t>
  </si>
  <si>
    <t>(1) Includes transport services, personnel costs, language interpretation, communication, AV services, special event set up x 2, administrative fees and VAT.</t>
  </si>
  <si>
    <t>I</t>
  </si>
  <si>
    <t>II</t>
  </si>
  <si>
    <t>Management Oversight Secretariat</t>
  </si>
  <si>
    <t>Indonesia Based Conference Expenses</t>
  </si>
  <si>
    <t>Salary - Covered</t>
  </si>
  <si>
    <t>Salary - Contributed</t>
  </si>
  <si>
    <t>ED and Other Senior Staff Secretariat and Sub-Committee</t>
  </si>
  <si>
    <t>8 people at 1,500 for Steering Committee - local NGOs only (this cost could be included in another Secretariat Member's budget as well)</t>
  </si>
  <si>
    <t>CCP Secretariat Support (2)</t>
  </si>
  <si>
    <t>Booths</t>
  </si>
  <si>
    <t>Sponsorship of rooms, special events, etc.</t>
  </si>
  <si>
    <t>Potential Sponsorship</t>
  </si>
  <si>
    <t>III</t>
  </si>
  <si>
    <t>Indonesia Subtotal Expenses</t>
  </si>
  <si>
    <t>CCP Subtotal</t>
  </si>
  <si>
    <t>Management Secretariat Subtotal</t>
  </si>
  <si>
    <t xml:space="preserve">II </t>
  </si>
  <si>
    <t>CONFERENCE TOTAL COSTS</t>
  </si>
  <si>
    <t xml:space="preserve">III </t>
  </si>
  <si>
    <t>Projected Revenue</t>
  </si>
  <si>
    <t>Sponsorship might include specific donor contributions</t>
  </si>
  <si>
    <t>Promotional e-e manual</t>
  </si>
  <si>
    <t>Printed X 1000 copies</t>
  </si>
  <si>
    <t>Printed X 1500 copies</t>
  </si>
  <si>
    <t>Additional EE manual for conference participants</t>
  </si>
  <si>
    <t>Card memory stick 1000</t>
  </si>
  <si>
    <t>Card memory stick 1500</t>
  </si>
  <si>
    <t>Pen memory stick 1000</t>
  </si>
  <si>
    <t>pen memory stick 1500</t>
  </si>
  <si>
    <t>Other Secretariat Support (UNICEF)</t>
  </si>
  <si>
    <t>1 US-based to assist with overall planning (2 mo. @ 9900/mo), 1 nationally based to assist with on ground logistics - 1mo @ 6000/mo</t>
  </si>
  <si>
    <t>Consultants - US based</t>
  </si>
  <si>
    <t>consultant - Indonesia based</t>
  </si>
  <si>
    <t>travel - US-based consultant</t>
  </si>
  <si>
    <t>travel - staff</t>
  </si>
  <si>
    <t>4 trips @ 5000 avg each</t>
  </si>
  <si>
    <t>travel - Indonesia based consultant</t>
  </si>
  <si>
    <t>UNICEF Subtotal</t>
  </si>
  <si>
    <t>UNICEF contributed</t>
  </si>
  <si>
    <t xml:space="preserve">1 P4 at 20% LOE, 2 P5 at 5% LOE, 1 P5 for 3% </t>
  </si>
  <si>
    <t>Per latest from Melali MICE</t>
  </si>
  <si>
    <t>SUMMARY PRELIMINARY BUDGET AS OF 2 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</si>
</sst>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i/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1"/>
      <color theme="1"/>
      <name val="Calibri"/>
      <scheme val="minor"/>
    </font>
    <font>
      <b/>
      <i/>
      <sz val="14"/>
      <color theme="1"/>
      <name val="Calibri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165" fontId="0" fillId="0" borderId="0" xfId="1" applyNumberFormat="1" applyFont="1"/>
    <xf numFmtId="165" fontId="4" fillId="0" borderId="2" xfId="1" applyNumberFormat="1" applyFont="1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Border="1"/>
    <xf numFmtId="9" fontId="0" fillId="0" borderId="0" xfId="2" applyFont="1"/>
    <xf numFmtId="165" fontId="0" fillId="0" borderId="0" xfId="1" applyNumberFormat="1" applyFont="1" applyAlignment="1"/>
    <xf numFmtId="0" fontId="5" fillId="0" borderId="0" xfId="0" applyFont="1"/>
    <xf numFmtId="0" fontId="0" fillId="0" borderId="0" xfId="0" quotePrefix="1"/>
    <xf numFmtId="0" fontId="0" fillId="2" borderId="0" xfId="0" applyFill="1"/>
    <xf numFmtId="165" fontId="0" fillId="2" borderId="0" xfId="1" applyNumberFormat="1" applyFont="1" applyFill="1"/>
    <xf numFmtId="0" fontId="6" fillId="0" borderId="0" xfId="0" applyFont="1"/>
    <xf numFmtId="165" fontId="4" fillId="0" borderId="2" xfId="1" applyNumberFormat="1" applyFont="1" applyFill="1" applyBorder="1" applyAlignment="1">
      <alignment horizontal="center"/>
    </xf>
    <xf numFmtId="0" fontId="0" fillId="0" borderId="2" xfId="0" applyBorder="1"/>
    <xf numFmtId="37" fontId="0" fillId="0" borderId="0" xfId="1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165" fontId="7" fillId="0" borderId="1" xfId="1" applyNumberFormat="1" applyFont="1" applyBorder="1"/>
    <xf numFmtId="0" fontId="9" fillId="0" borderId="0" xfId="0" applyFont="1"/>
    <xf numFmtId="165" fontId="9" fillId="0" borderId="0" xfId="1" applyNumberFormat="1" applyFont="1"/>
    <xf numFmtId="0" fontId="9" fillId="0" borderId="0" xfId="0" quotePrefix="1" applyFont="1"/>
    <xf numFmtId="6" fontId="9" fillId="0" borderId="0" xfId="0" applyNumberFormat="1" applyFont="1"/>
    <xf numFmtId="165" fontId="4" fillId="0" borderId="0" xfId="1" applyNumberFormat="1" applyFont="1" applyBorder="1" applyAlignment="1">
      <alignment horizontal="center"/>
    </xf>
    <xf numFmtId="165" fontId="7" fillId="0" borderId="0" xfId="1" applyNumberFormat="1" applyFont="1" applyBorder="1"/>
    <xf numFmtId="165" fontId="2" fillId="0" borderId="0" xfId="1" applyNumberFormat="1" applyFont="1" applyBorder="1"/>
    <xf numFmtId="165" fontId="9" fillId="0" borderId="1" xfId="1" applyNumberFormat="1" applyFont="1" applyBorder="1"/>
    <xf numFmtId="165" fontId="8" fillId="0" borderId="0" xfId="1" applyNumberFormat="1" applyFont="1"/>
    <xf numFmtId="165" fontId="7" fillId="0" borderId="0" xfId="1" applyNumberFormat="1" applyFont="1"/>
    <xf numFmtId="0" fontId="13" fillId="0" borderId="0" xfId="0" applyFont="1"/>
    <xf numFmtId="165" fontId="13" fillId="0" borderId="0" xfId="1" applyNumberFormat="1" applyFont="1"/>
    <xf numFmtId="0" fontId="0" fillId="0" borderId="3" xfId="0" applyBorder="1"/>
    <xf numFmtId="0" fontId="5" fillId="0" borderId="1" xfId="0" applyFont="1" applyBorder="1"/>
    <xf numFmtId="0" fontId="9" fillId="0" borderId="1" xfId="0" applyFont="1" applyBorder="1"/>
    <xf numFmtId="0" fontId="9" fillId="0" borderId="4" xfId="0" applyFont="1" applyBorder="1"/>
    <xf numFmtId="0" fontId="0" fillId="0" borderId="5" xfId="0" applyBorder="1"/>
    <xf numFmtId="0" fontId="0" fillId="0" borderId="0" xfId="0" applyBorder="1"/>
    <xf numFmtId="9" fontId="9" fillId="0" borderId="0" xfId="2" applyFont="1" applyBorder="1"/>
    <xf numFmtId="0" fontId="9" fillId="0" borderId="0" xfId="0" applyFont="1" applyBorder="1"/>
    <xf numFmtId="165" fontId="9" fillId="0" borderId="0" xfId="1" applyNumberFormat="1" applyFont="1" applyBorder="1"/>
    <xf numFmtId="0" fontId="9" fillId="0" borderId="6" xfId="0" applyFont="1" applyBorder="1"/>
    <xf numFmtId="44" fontId="9" fillId="0" borderId="0" xfId="1" applyNumberFormat="1" applyFont="1" applyBorder="1"/>
    <xf numFmtId="3" fontId="9" fillId="0" borderId="0" xfId="0" applyNumberFormat="1" applyFont="1" applyBorder="1"/>
    <xf numFmtId="0" fontId="12" fillId="0" borderId="0" xfId="0" applyFont="1" applyBorder="1"/>
    <xf numFmtId="165" fontId="12" fillId="0" borderId="0" xfId="1" applyNumberFormat="1" applyFont="1" applyBorder="1"/>
    <xf numFmtId="0" fontId="0" fillId="0" borderId="7" xfId="0" applyBorder="1"/>
    <xf numFmtId="165" fontId="0" fillId="0" borderId="2" xfId="1" applyNumberFormat="1" applyFont="1" applyBorder="1"/>
    <xf numFmtId="0" fontId="0" fillId="0" borderId="8" xfId="0" applyBorder="1"/>
    <xf numFmtId="165" fontId="0" fillId="0" borderId="0" xfId="0" applyNumberFormat="1"/>
    <xf numFmtId="0" fontId="2" fillId="3" borderId="0" xfId="0" applyFont="1" applyFill="1"/>
    <xf numFmtId="165" fontId="2" fillId="3" borderId="0" xfId="1" applyNumberFormat="1" applyFont="1" applyFill="1"/>
    <xf numFmtId="0" fontId="0" fillId="3" borderId="0" xfId="0" applyFill="1"/>
    <xf numFmtId="165" fontId="0" fillId="3" borderId="0" xfId="1" applyNumberFormat="1" applyFont="1" applyFill="1" applyAlignment="1">
      <alignment wrapText="1"/>
    </xf>
    <xf numFmtId="165" fontId="0" fillId="3" borderId="0" xfId="1" applyNumberFormat="1" applyFont="1" applyFill="1"/>
    <xf numFmtId="0" fontId="9" fillId="3" borderId="0" xfId="0" applyFont="1" applyFill="1"/>
    <xf numFmtId="165" fontId="15" fillId="3" borderId="0" xfId="1" applyNumberFormat="1" applyFont="1" applyFill="1"/>
    <xf numFmtId="165" fontId="9" fillId="3" borderId="0" xfId="1" applyNumberFormat="1" applyFont="1" applyFill="1"/>
    <xf numFmtId="165" fontId="0" fillId="3" borderId="1" xfId="1" applyNumberFormat="1" applyFont="1" applyFill="1" applyBorder="1"/>
    <xf numFmtId="165" fontId="0" fillId="3" borderId="0" xfId="1" applyNumberFormat="1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165" fontId="2" fillId="3" borderId="11" xfId="0" applyNumberFormat="1" applyFont="1" applyFill="1" applyBorder="1"/>
    <xf numFmtId="0" fontId="2" fillId="3" borderId="0" xfId="0" applyFont="1" applyFill="1" applyBorder="1"/>
    <xf numFmtId="165" fontId="2" fillId="3" borderId="0" xfId="0" applyNumberFormat="1" applyFont="1" applyFill="1" applyBorder="1"/>
    <xf numFmtId="0" fontId="0" fillId="3" borderId="0" xfId="0" applyFill="1" applyAlignment="1">
      <alignment vertical="top"/>
    </xf>
    <xf numFmtId="165" fontId="0" fillId="3" borderId="0" xfId="1" applyNumberFormat="1" applyFont="1" applyFill="1" applyAlignment="1">
      <alignment vertical="top"/>
    </xf>
    <xf numFmtId="165" fontId="0" fillId="3" borderId="0" xfId="1" applyNumberFormat="1" applyFont="1" applyFill="1" applyAlignment="1">
      <alignment vertical="top" wrapText="1"/>
    </xf>
    <xf numFmtId="165" fontId="0" fillId="0" borderId="0" xfId="1" applyNumberFormat="1" applyFont="1" applyAlignment="1">
      <alignment vertical="top"/>
    </xf>
    <xf numFmtId="0" fontId="0" fillId="0" borderId="0" xfId="0" applyAlignment="1">
      <alignment vertical="top"/>
    </xf>
    <xf numFmtId="0" fontId="15" fillId="3" borderId="0" xfId="0" applyFont="1" applyFill="1"/>
    <xf numFmtId="164" fontId="0" fillId="0" borderId="0" xfId="1" applyFont="1"/>
    <xf numFmtId="0" fontId="0" fillId="0" borderId="0" xfId="0" applyFill="1"/>
    <xf numFmtId="0" fontId="0" fillId="0" borderId="0" xfId="0" applyFont="1" applyFill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165" fontId="0" fillId="0" borderId="0" xfId="1" applyNumberFormat="1" applyFont="1" applyFill="1"/>
    <xf numFmtId="164" fontId="0" fillId="0" borderId="0" xfId="0" applyNumberFormat="1"/>
    <xf numFmtId="0" fontId="16" fillId="0" borderId="0" xfId="0" applyFont="1"/>
    <xf numFmtId="0" fontId="9" fillId="0" borderId="2" xfId="0" applyFont="1" applyBorder="1"/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C2:I55"/>
  <sheetViews>
    <sheetView zoomScale="90" zoomScaleNormal="90" zoomScalePageLayoutView="90" workbookViewId="0">
      <selection activeCell="H9" sqref="H9"/>
    </sheetView>
  </sheetViews>
  <sheetFormatPr baseColWidth="10" defaultColWidth="8.6640625" defaultRowHeight="14" x14ac:dyDescent="0"/>
  <cols>
    <col min="1" max="2" width="3.33203125" customWidth="1"/>
    <col min="3" max="3" width="1.6640625" customWidth="1"/>
    <col min="4" max="4" width="13.6640625" bestFit="1" customWidth="1"/>
    <col min="7" max="9" width="12.6640625" style="3" customWidth="1"/>
  </cols>
  <sheetData>
    <row r="2" spans="3:9" ht="15">
      <c r="C2" s="2" t="s">
        <v>1</v>
      </c>
    </row>
    <row r="3" spans="3:9">
      <c r="C3" s="1" t="s">
        <v>0</v>
      </c>
    </row>
    <row r="4" spans="3:9">
      <c r="C4" s="1" t="s">
        <v>2</v>
      </c>
    </row>
    <row r="5" spans="3:9">
      <c r="C5" s="1"/>
    </row>
    <row r="6" spans="3:9">
      <c r="G6" s="8">
        <v>800</v>
      </c>
      <c r="H6" s="8">
        <v>1000</v>
      </c>
      <c r="I6" s="8">
        <v>1200</v>
      </c>
    </row>
    <row r="7" spans="3:9">
      <c r="G7" s="4" t="s">
        <v>5</v>
      </c>
      <c r="H7" s="4" t="s">
        <v>5</v>
      </c>
      <c r="I7" s="4" t="s">
        <v>5</v>
      </c>
    </row>
    <row r="8" spans="3:9">
      <c r="C8" s="1" t="s">
        <v>3</v>
      </c>
    </row>
    <row r="9" spans="3:9">
      <c r="D9" t="s">
        <v>4</v>
      </c>
      <c r="G9" s="3">
        <f>$D$45*200+(G6-$D$45)*325</f>
        <v>247500</v>
      </c>
      <c r="H9" s="3">
        <f t="shared" ref="H9:I9" si="0">$D$45*200+(H6-$D$45)*325</f>
        <v>312500</v>
      </c>
      <c r="I9" s="3">
        <f t="shared" si="0"/>
        <v>377500</v>
      </c>
    </row>
    <row r="10" spans="3:9">
      <c r="D10" t="s">
        <v>8</v>
      </c>
      <c r="G10" s="3">
        <v>125000</v>
      </c>
      <c r="H10" s="3">
        <v>150000</v>
      </c>
      <c r="I10" s="3">
        <v>175000</v>
      </c>
    </row>
    <row r="11" spans="3:9">
      <c r="D11" t="s">
        <v>7</v>
      </c>
      <c r="G11" s="3">
        <v>300000</v>
      </c>
      <c r="H11" s="3">
        <v>350000</v>
      </c>
      <c r="I11" s="3">
        <v>400000</v>
      </c>
    </row>
    <row r="12" spans="3:9">
      <c r="D12" t="s">
        <v>6</v>
      </c>
      <c r="G12" s="3">
        <v>125000</v>
      </c>
      <c r="H12" s="3">
        <v>150000</v>
      </c>
      <c r="I12" s="3">
        <v>175000</v>
      </c>
    </row>
    <row r="13" spans="3:9">
      <c r="D13" t="s">
        <v>9</v>
      </c>
    </row>
    <row r="14" spans="3:9">
      <c r="C14" s="1" t="s">
        <v>10</v>
      </c>
      <c r="G14" s="5">
        <f>SUM(G9:G13)</f>
        <v>797500</v>
      </c>
      <c r="H14" s="5">
        <f t="shared" ref="H14:I14" si="1">SUM(H9:H13)</f>
        <v>962500</v>
      </c>
      <c r="I14" s="5">
        <f t="shared" si="1"/>
        <v>1127500</v>
      </c>
    </row>
    <row r="16" spans="3:9">
      <c r="C16" s="1" t="s">
        <v>11</v>
      </c>
    </row>
    <row r="17" spans="4:9">
      <c r="D17" t="s">
        <v>12</v>
      </c>
      <c r="G17" s="3">
        <f>$D50*($D47*120000+$D48*60000+$D49*50000)</f>
        <v>70000</v>
      </c>
      <c r="H17" s="3">
        <f t="shared" ref="H17:I17" si="2">$D50*($D47*120000+$D48*60000+$D49*50000)</f>
        <v>70000</v>
      </c>
      <c r="I17" s="3">
        <f t="shared" si="2"/>
        <v>70000</v>
      </c>
    </row>
    <row r="18" spans="4:9">
      <c r="D18" t="s">
        <v>13</v>
      </c>
    </row>
    <row r="19" spans="4:9">
      <c r="D19" t="s">
        <v>14</v>
      </c>
      <c r="G19" s="3">
        <f>0.34*G17</f>
        <v>23800</v>
      </c>
      <c r="H19" s="3">
        <f t="shared" ref="H19:I19" si="3">0.34*H17</f>
        <v>23800</v>
      </c>
      <c r="I19" s="3">
        <f t="shared" si="3"/>
        <v>23800</v>
      </c>
    </row>
    <row r="20" spans="4:9">
      <c r="D20" t="s">
        <v>15</v>
      </c>
      <c r="G20" s="5">
        <f>SUM(G17:G19)</f>
        <v>93800</v>
      </c>
      <c r="H20" s="5">
        <f t="shared" ref="H20:I20" si="4">SUM(H17:H19)</f>
        <v>93800</v>
      </c>
      <c r="I20" s="5">
        <f t="shared" si="4"/>
        <v>93800</v>
      </c>
    </row>
    <row r="21" spans="4:9">
      <c r="G21" s="6"/>
      <c r="H21" s="6"/>
      <c r="I21" s="6"/>
    </row>
    <row r="22" spans="4:9">
      <c r="D22" t="s">
        <v>16</v>
      </c>
      <c r="G22" s="3">
        <v>10000</v>
      </c>
      <c r="H22" s="3">
        <v>10000</v>
      </c>
      <c r="I22" s="3">
        <v>10000</v>
      </c>
    </row>
    <row r="24" spans="4:9">
      <c r="D24" t="s">
        <v>17</v>
      </c>
      <c r="G24" s="3">
        <f>$D52*$D53</f>
        <v>110000</v>
      </c>
      <c r="H24" s="3">
        <f t="shared" ref="H24:I24" si="5">$D52*$D53</f>
        <v>110000</v>
      </c>
      <c r="I24" s="3">
        <f t="shared" si="5"/>
        <v>110000</v>
      </c>
    </row>
    <row r="25" spans="4:9">
      <c r="D25" t="s">
        <v>18</v>
      </c>
      <c r="G25" s="3">
        <v>0</v>
      </c>
      <c r="H25" s="3">
        <v>0</v>
      </c>
      <c r="I25" s="3">
        <v>0</v>
      </c>
    </row>
    <row r="26" spans="4:9">
      <c r="D26" t="s">
        <v>19</v>
      </c>
      <c r="G26" s="5">
        <f>SUM(G24:G25)</f>
        <v>110000</v>
      </c>
      <c r="H26" s="5">
        <f t="shared" ref="H26:I26" si="6">SUM(H24:H25)</f>
        <v>110000</v>
      </c>
      <c r="I26" s="5">
        <f t="shared" si="6"/>
        <v>110000</v>
      </c>
    </row>
    <row r="28" spans="4:9">
      <c r="D28" t="s">
        <v>20</v>
      </c>
      <c r="G28" s="3">
        <v>320000</v>
      </c>
      <c r="H28" s="3">
        <v>340000</v>
      </c>
      <c r="I28" s="3">
        <v>360000</v>
      </c>
    </row>
    <row r="29" spans="4:9">
      <c r="D29" t="s">
        <v>21</v>
      </c>
      <c r="G29" s="3">
        <f>H29*0.9</f>
        <v>891000</v>
      </c>
      <c r="H29" s="3">
        <f>D55*0.75</f>
        <v>990000</v>
      </c>
      <c r="I29" s="3">
        <f>H29*1.1</f>
        <v>1089000</v>
      </c>
    </row>
    <row r="30" spans="4:9">
      <c r="D30" t="s">
        <v>22</v>
      </c>
      <c r="G30" s="3">
        <f>H30*0.9</f>
        <v>90000</v>
      </c>
      <c r="H30" s="3">
        <v>100000</v>
      </c>
      <c r="I30" s="3">
        <f>H30*1.1</f>
        <v>110000.00000000001</v>
      </c>
    </row>
    <row r="31" spans="4:9">
      <c r="D31" t="s">
        <v>23</v>
      </c>
      <c r="G31" s="5">
        <f>SUM(G28:G30)</f>
        <v>1301000</v>
      </c>
      <c r="H31" s="5">
        <f t="shared" ref="H31:I31" si="7">SUM(H28:H30)</f>
        <v>1430000</v>
      </c>
      <c r="I31" s="5">
        <f t="shared" si="7"/>
        <v>1559000</v>
      </c>
    </row>
    <row r="33" spans="3:9">
      <c r="D33" t="s">
        <v>24</v>
      </c>
      <c r="G33" s="3">
        <v>20000</v>
      </c>
      <c r="H33" s="3">
        <v>25000</v>
      </c>
      <c r="I33" s="3">
        <v>30000</v>
      </c>
    </row>
    <row r="35" spans="3:9">
      <c r="D35" t="s">
        <v>25</v>
      </c>
      <c r="G35" s="5">
        <f>G33+G31+G26+G22+G20</f>
        <v>1534800</v>
      </c>
      <c r="H35" s="5">
        <f t="shared" ref="H35:I35" si="8">H33+H31+H26+H22+H20</f>
        <v>1668800</v>
      </c>
      <c r="I35" s="5">
        <f t="shared" si="8"/>
        <v>1802800</v>
      </c>
    </row>
    <row r="37" spans="3:9">
      <c r="D37" t="s">
        <v>26</v>
      </c>
      <c r="G37" s="3">
        <f>0.2*G35</f>
        <v>306960</v>
      </c>
      <c r="H37" s="3">
        <f t="shared" ref="H37:I37" si="9">0.2*H35</f>
        <v>333760</v>
      </c>
      <c r="I37" s="3">
        <f t="shared" si="9"/>
        <v>360560</v>
      </c>
    </row>
    <row r="39" spans="3:9">
      <c r="C39" s="1" t="s">
        <v>27</v>
      </c>
      <c r="G39" s="5">
        <f>SUM(G35:G38)</f>
        <v>1841760</v>
      </c>
      <c r="H39" s="5">
        <f t="shared" ref="H39:I39" si="10">SUM(H35:H38)</f>
        <v>2002560</v>
      </c>
      <c r="I39" s="5">
        <f t="shared" si="10"/>
        <v>2163360</v>
      </c>
    </row>
    <row r="41" spans="3:9">
      <c r="C41" s="1" t="s">
        <v>28</v>
      </c>
      <c r="G41" s="5">
        <f>G14-G39</f>
        <v>-1044260</v>
      </c>
      <c r="H41" s="5">
        <f t="shared" ref="H41:I41" si="11">H14-H39</f>
        <v>-1040060</v>
      </c>
      <c r="I41" s="5">
        <f t="shared" si="11"/>
        <v>-1035860</v>
      </c>
    </row>
    <row r="44" spans="3:9">
      <c r="C44" t="s">
        <v>29</v>
      </c>
    </row>
    <row r="45" spans="3:9">
      <c r="D45">
        <v>100</v>
      </c>
      <c r="E45" t="s">
        <v>30</v>
      </c>
    </row>
    <row r="46" spans="3:9">
      <c r="D46" t="s">
        <v>31</v>
      </c>
    </row>
    <row r="47" spans="3:9">
      <c r="D47">
        <v>4</v>
      </c>
      <c r="E47" t="s">
        <v>32</v>
      </c>
    </row>
    <row r="48" spans="3:9">
      <c r="D48">
        <v>2</v>
      </c>
      <c r="E48" t="s">
        <v>33</v>
      </c>
    </row>
    <row r="49" spans="4:5" customFormat="1">
      <c r="D49">
        <v>2</v>
      </c>
      <c r="E49" t="s">
        <v>34</v>
      </c>
    </row>
    <row r="50" spans="4:5" customFormat="1">
      <c r="D50" s="7">
        <v>0.1</v>
      </c>
      <c r="E50" t="s">
        <v>35</v>
      </c>
    </row>
    <row r="51" spans="4:5" customFormat="1">
      <c r="D51" t="s">
        <v>36</v>
      </c>
    </row>
    <row r="52" spans="4:5" customFormat="1">
      <c r="D52">
        <v>20</v>
      </c>
      <c r="E52" t="s">
        <v>37</v>
      </c>
    </row>
    <row r="53" spans="4:5" customFormat="1">
      <c r="D53">
        <v>5500</v>
      </c>
      <c r="E53" t="s">
        <v>38</v>
      </c>
    </row>
    <row r="54" spans="4:5" customFormat="1">
      <c r="D54" t="s">
        <v>39</v>
      </c>
    </row>
    <row r="55" spans="4:5" customFormat="1">
      <c r="D55" s="3">
        <v>1320000</v>
      </c>
      <c r="E55" t="s">
        <v>40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C2:I54"/>
  <sheetViews>
    <sheetView zoomScale="85" zoomScaleNormal="85" zoomScalePageLayoutView="85" workbookViewId="0">
      <selection activeCell="F40" sqref="F40"/>
    </sheetView>
  </sheetViews>
  <sheetFormatPr baseColWidth="10" defaultColWidth="8.6640625" defaultRowHeight="14" x14ac:dyDescent="0"/>
  <cols>
    <col min="1" max="2" width="3.33203125" customWidth="1"/>
    <col min="3" max="3" width="1.6640625" customWidth="1"/>
    <col min="4" max="4" width="13.6640625" bestFit="1" customWidth="1"/>
    <col min="7" max="9" width="12.6640625" style="3" customWidth="1"/>
  </cols>
  <sheetData>
    <row r="2" spans="3:9" ht="15">
      <c r="C2" s="2" t="s">
        <v>1</v>
      </c>
    </row>
    <row r="3" spans="3:9">
      <c r="C3" s="1" t="s">
        <v>0</v>
      </c>
    </row>
    <row r="4" spans="3:9">
      <c r="C4" s="1" t="s">
        <v>2</v>
      </c>
    </row>
    <row r="5" spans="3:9">
      <c r="C5" s="1"/>
    </row>
    <row r="6" spans="3:9">
      <c r="G6" s="8">
        <v>800</v>
      </c>
      <c r="H6" s="8">
        <v>1000</v>
      </c>
      <c r="I6" s="8">
        <v>1200</v>
      </c>
    </row>
    <row r="7" spans="3:9">
      <c r="G7" s="4" t="s">
        <v>5</v>
      </c>
      <c r="H7" s="4" t="s">
        <v>5</v>
      </c>
      <c r="I7" s="4" t="s">
        <v>5</v>
      </c>
    </row>
    <row r="8" spans="3:9">
      <c r="C8" s="1" t="s">
        <v>3</v>
      </c>
    </row>
    <row r="9" spans="3:9">
      <c r="D9" t="s">
        <v>4</v>
      </c>
      <c r="G9" s="3">
        <f>$D$44*G6*250+(1-$D$44)*G6*500</f>
        <v>380000</v>
      </c>
      <c r="H9" s="3">
        <f t="shared" ref="H9:I9" si="0">$D$44*H6*250+(1-$D$44)*H6*500</f>
        <v>475000</v>
      </c>
      <c r="I9" s="3">
        <f t="shared" si="0"/>
        <v>570000</v>
      </c>
    </row>
    <row r="10" spans="3:9">
      <c r="D10" t="s">
        <v>8</v>
      </c>
      <c r="G10" s="3">
        <v>125000</v>
      </c>
      <c r="H10" s="3">
        <v>150000</v>
      </c>
      <c r="I10" s="3">
        <v>175000</v>
      </c>
    </row>
    <row r="11" spans="3:9">
      <c r="D11" t="s">
        <v>7</v>
      </c>
      <c r="G11" s="3">
        <v>300000</v>
      </c>
      <c r="H11" s="3">
        <v>350000</v>
      </c>
      <c r="I11" s="3">
        <v>400000</v>
      </c>
    </row>
    <row r="12" spans="3:9">
      <c r="D12" t="s">
        <v>6</v>
      </c>
      <c r="G12" s="3">
        <v>125000</v>
      </c>
      <c r="H12" s="3">
        <v>150000</v>
      </c>
      <c r="I12" s="3">
        <v>175000</v>
      </c>
    </row>
    <row r="13" spans="3:9">
      <c r="D13" t="s">
        <v>9</v>
      </c>
      <c r="G13" s="3">
        <v>0</v>
      </c>
      <c r="H13" s="3">
        <v>0</v>
      </c>
      <c r="I13" s="3">
        <v>0</v>
      </c>
    </row>
    <row r="14" spans="3:9">
      <c r="C14" s="1" t="s">
        <v>10</v>
      </c>
      <c r="G14" s="5">
        <f>SUM(G9:G13)</f>
        <v>930000</v>
      </c>
      <c r="H14" s="5">
        <f t="shared" ref="H14:I14" si="1">SUM(H9:H13)</f>
        <v>1125000</v>
      </c>
      <c r="I14" s="5">
        <f t="shared" si="1"/>
        <v>1320000</v>
      </c>
    </row>
    <row r="16" spans="3:9">
      <c r="C16" s="1" t="s">
        <v>11</v>
      </c>
    </row>
    <row r="17" spans="4:9">
      <c r="D17" t="s">
        <v>12</v>
      </c>
      <c r="G17" s="3">
        <f>$D49*($D46*120000+$D47*60000+$D48*50000)</f>
        <v>70000</v>
      </c>
      <c r="H17" s="3">
        <f t="shared" ref="H17:I17" si="2">$D49*($D46*120000+$D47*60000+$D48*50000)</f>
        <v>70000</v>
      </c>
      <c r="I17" s="3">
        <f t="shared" si="2"/>
        <v>70000</v>
      </c>
    </row>
    <row r="18" spans="4:9">
      <c r="D18" t="s">
        <v>13</v>
      </c>
      <c r="G18" s="3">
        <v>0</v>
      </c>
      <c r="H18" s="3">
        <v>0</v>
      </c>
      <c r="I18" s="3">
        <v>0</v>
      </c>
    </row>
    <row r="19" spans="4:9">
      <c r="D19" t="s">
        <v>14</v>
      </c>
      <c r="G19" s="3">
        <f>0.34*G17</f>
        <v>23800</v>
      </c>
      <c r="H19" s="3">
        <f t="shared" ref="H19:I19" si="3">0.34*H17</f>
        <v>23800</v>
      </c>
      <c r="I19" s="3">
        <f t="shared" si="3"/>
        <v>23800</v>
      </c>
    </row>
    <row r="20" spans="4:9">
      <c r="D20" t="s">
        <v>15</v>
      </c>
      <c r="G20" s="5">
        <f>SUM(G17:G19)</f>
        <v>93800</v>
      </c>
      <c r="H20" s="5">
        <f t="shared" ref="H20:I20" si="4">SUM(H17:H19)</f>
        <v>93800</v>
      </c>
      <c r="I20" s="5">
        <f t="shared" si="4"/>
        <v>93800</v>
      </c>
    </row>
    <row r="21" spans="4:9">
      <c r="G21" s="6"/>
      <c r="H21" s="6"/>
      <c r="I21" s="6"/>
    </row>
    <row r="22" spans="4:9">
      <c r="D22" t="s">
        <v>16</v>
      </c>
      <c r="G22" s="3">
        <v>10000</v>
      </c>
      <c r="H22" s="3">
        <v>10000</v>
      </c>
      <c r="I22" s="3">
        <v>10000</v>
      </c>
    </row>
    <row r="24" spans="4:9">
      <c r="D24" t="s">
        <v>17</v>
      </c>
      <c r="G24" s="3">
        <f>$D51*$D52</f>
        <v>56400</v>
      </c>
      <c r="H24" s="3">
        <f t="shared" ref="H24:I24" si="5">$D51*$D52</f>
        <v>56400</v>
      </c>
      <c r="I24" s="3">
        <f t="shared" si="5"/>
        <v>56400</v>
      </c>
    </row>
    <row r="25" spans="4:9">
      <c r="D25" t="s">
        <v>18</v>
      </c>
      <c r="G25" s="3">
        <v>0</v>
      </c>
      <c r="H25" s="3">
        <v>0</v>
      </c>
      <c r="I25" s="3">
        <v>0</v>
      </c>
    </row>
    <row r="26" spans="4:9">
      <c r="D26" t="s">
        <v>19</v>
      </c>
      <c r="G26" s="5">
        <f>SUM(G24:G25)</f>
        <v>56400</v>
      </c>
      <c r="H26" s="5">
        <f t="shared" ref="H26:I26" si="6">SUM(H24:H25)</f>
        <v>56400</v>
      </c>
      <c r="I26" s="5">
        <f t="shared" si="6"/>
        <v>56400</v>
      </c>
    </row>
    <row r="28" spans="4:9">
      <c r="D28" t="s">
        <v>20</v>
      </c>
      <c r="G28" s="3">
        <v>320000</v>
      </c>
      <c r="H28" s="3">
        <v>340000</v>
      </c>
      <c r="I28" s="3">
        <v>360000</v>
      </c>
    </row>
    <row r="29" spans="4:9">
      <c r="D29" t="s">
        <v>21</v>
      </c>
      <c r="G29" s="3">
        <f>0.8*I29</f>
        <v>348000</v>
      </c>
      <c r="H29" s="3">
        <f>0.9*I29</f>
        <v>391500</v>
      </c>
      <c r="I29" s="3">
        <f>0.5*D54</f>
        <v>435000</v>
      </c>
    </row>
    <row r="30" spans="4:9">
      <c r="D30" t="s">
        <v>22</v>
      </c>
      <c r="G30" s="3">
        <f>H30*0.9</f>
        <v>90000</v>
      </c>
      <c r="H30" s="3">
        <v>100000</v>
      </c>
      <c r="I30" s="3">
        <f>H30*1.1</f>
        <v>110000.00000000001</v>
      </c>
    </row>
    <row r="31" spans="4:9">
      <c r="D31" t="s">
        <v>23</v>
      </c>
      <c r="G31" s="5">
        <f>SUM(G28:G30)</f>
        <v>758000</v>
      </c>
      <c r="H31" s="5">
        <f t="shared" ref="H31:I31" si="7">SUM(H28:H30)</f>
        <v>831500</v>
      </c>
      <c r="I31" s="5">
        <f t="shared" si="7"/>
        <v>905000</v>
      </c>
    </row>
    <row r="33" spans="3:9">
      <c r="D33" t="s">
        <v>24</v>
      </c>
      <c r="G33" s="3">
        <v>20000</v>
      </c>
      <c r="H33" s="3">
        <v>25000</v>
      </c>
      <c r="I33" s="3">
        <v>30000</v>
      </c>
    </row>
    <row r="35" spans="3:9">
      <c r="D35" t="s">
        <v>25</v>
      </c>
      <c r="G35" s="5">
        <f>G33+G31+G26+G22+G20</f>
        <v>938200</v>
      </c>
      <c r="H35" s="5">
        <f t="shared" ref="H35:I35" si="8">H33+H31+H26+H22+H20</f>
        <v>1016700</v>
      </c>
      <c r="I35" s="5">
        <f t="shared" si="8"/>
        <v>1095200</v>
      </c>
    </row>
    <row r="37" spans="3:9">
      <c r="D37" t="s">
        <v>26</v>
      </c>
      <c r="G37" s="3">
        <f>0.2*G35</f>
        <v>187640</v>
      </c>
      <c r="H37" s="3">
        <f t="shared" ref="H37:I37" si="9">0.2*H35</f>
        <v>203340</v>
      </c>
      <c r="I37" s="3">
        <f t="shared" si="9"/>
        <v>219040</v>
      </c>
    </row>
    <row r="39" spans="3:9">
      <c r="C39" s="1" t="s">
        <v>27</v>
      </c>
      <c r="G39" s="5">
        <f>SUM(G35:G38)</f>
        <v>1125840</v>
      </c>
      <c r="H39" s="5">
        <f t="shared" ref="H39:I39" si="10">SUM(H35:H38)</f>
        <v>1220040</v>
      </c>
      <c r="I39" s="5">
        <f t="shared" si="10"/>
        <v>1314240</v>
      </c>
    </row>
    <row r="41" spans="3:9">
      <c r="C41" s="1" t="s">
        <v>28</v>
      </c>
      <c r="G41" s="5">
        <f>G14-G39</f>
        <v>-195840</v>
      </c>
      <c r="H41" s="5">
        <f t="shared" ref="H41:I41" si="11">H14-H39</f>
        <v>-95040</v>
      </c>
      <c r="I41" s="5">
        <f t="shared" si="11"/>
        <v>5760</v>
      </c>
    </row>
    <row r="43" spans="3:9">
      <c r="C43" s="9" t="s">
        <v>29</v>
      </c>
    </row>
    <row r="44" spans="3:9">
      <c r="D44" s="7">
        <v>0.1</v>
      </c>
      <c r="E44" t="s">
        <v>41</v>
      </c>
    </row>
    <row r="45" spans="3:9">
      <c r="D45" t="s">
        <v>31</v>
      </c>
    </row>
    <row r="46" spans="3:9">
      <c r="D46">
        <v>4</v>
      </c>
      <c r="E46" t="s">
        <v>32</v>
      </c>
    </row>
    <row r="47" spans="3:9">
      <c r="D47">
        <v>2</v>
      </c>
      <c r="E47" t="s">
        <v>33</v>
      </c>
    </row>
    <row r="48" spans="3:9">
      <c r="D48">
        <v>2</v>
      </c>
      <c r="E48" t="s">
        <v>34</v>
      </c>
      <c r="G48"/>
      <c r="H48"/>
      <c r="I48"/>
    </row>
    <row r="49" spans="4:9">
      <c r="D49" s="7">
        <v>0.1</v>
      </c>
      <c r="E49" t="s">
        <v>35</v>
      </c>
      <c r="G49"/>
      <c r="H49"/>
      <c r="I49"/>
    </row>
    <row r="50" spans="4:9">
      <c r="D50" t="s">
        <v>36</v>
      </c>
      <c r="G50"/>
      <c r="H50"/>
      <c r="I50"/>
    </row>
    <row r="51" spans="4:9">
      <c r="D51">
        <v>12</v>
      </c>
      <c r="E51" t="s">
        <v>37</v>
      </c>
      <c r="G51"/>
      <c r="H51"/>
      <c r="I51"/>
    </row>
    <row r="52" spans="4:9">
      <c r="D52">
        <v>4700</v>
      </c>
      <c r="E52" t="s">
        <v>38</v>
      </c>
      <c r="G52"/>
      <c r="H52"/>
      <c r="I52"/>
    </row>
    <row r="53" spans="4:9">
      <c r="D53" t="s">
        <v>42</v>
      </c>
      <c r="G53"/>
      <c r="H53"/>
      <c r="I53"/>
    </row>
    <row r="54" spans="4:9">
      <c r="D54" s="3">
        <v>870000</v>
      </c>
      <c r="E54" t="s">
        <v>40</v>
      </c>
      <c r="G54"/>
      <c r="H54"/>
      <c r="I54"/>
    </row>
  </sheetData>
  <pageMargins left="0.25" right="0.25" top="0.25" bottom="0.25" header="0.05" footer="0.05"/>
  <pageSetup scale="96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Q64"/>
  <sheetViews>
    <sheetView topLeftCell="A34" zoomScale="85" zoomScaleNormal="85" zoomScalePageLayoutView="85" workbookViewId="0">
      <selection activeCell="I10" sqref="I10"/>
    </sheetView>
  </sheetViews>
  <sheetFormatPr baseColWidth="10" defaultColWidth="8.6640625" defaultRowHeight="14" x14ac:dyDescent="0"/>
  <cols>
    <col min="1" max="2" width="3.33203125" customWidth="1"/>
    <col min="3" max="3" width="1.6640625" customWidth="1"/>
    <col min="4" max="4" width="13.6640625" bestFit="1" customWidth="1"/>
    <col min="7" max="9" width="12.6640625" style="3" customWidth="1"/>
    <col min="10" max="10" width="2.1640625" customWidth="1"/>
    <col min="11" max="11" width="15.6640625" customWidth="1"/>
  </cols>
  <sheetData>
    <row r="2" spans="3:17" ht="15">
      <c r="C2" s="2" t="s">
        <v>1</v>
      </c>
    </row>
    <row r="3" spans="3:17">
      <c r="C3" s="1" t="s">
        <v>0</v>
      </c>
    </row>
    <row r="4" spans="3:17">
      <c r="C4" s="1" t="s">
        <v>43</v>
      </c>
    </row>
    <row r="5" spans="3:17">
      <c r="C5" s="1"/>
    </row>
    <row r="6" spans="3:17">
      <c r="G6" s="16">
        <v>800</v>
      </c>
      <c r="H6" s="16">
        <v>1000</v>
      </c>
      <c r="I6" s="16">
        <v>1200</v>
      </c>
    </row>
    <row r="7" spans="3:17">
      <c r="G7" s="4" t="s">
        <v>5</v>
      </c>
      <c r="H7" s="4" t="s">
        <v>5</v>
      </c>
      <c r="I7" s="4" t="s">
        <v>5</v>
      </c>
      <c r="K7" s="14" t="s">
        <v>44</v>
      </c>
      <c r="L7" s="15"/>
      <c r="M7" s="15"/>
      <c r="N7" s="15"/>
      <c r="O7" s="15"/>
      <c r="P7" s="15"/>
      <c r="Q7" s="15"/>
    </row>
    <row r="8" spans="3:17">
      <c r="C8" s="1" t="s">
        <v>3</v>
      </c>
    </row>
    <row r="9" spans="3:17">
      <c r="D9" t="s">
        <v>4</v>
      </c>
      <c r="G9" s="3">
        <f>$D$48*G6*200+(1-$D$48)*G6*400</f>
        <v>272000</v>
      </c>
      <c r="H9" s="3">
        <f t="shared" ref="H9:I9" si="0">$D$48*H6*200+(1-$D$48)*H6*400</f>
        <v>340000</v>
      </c>
      <c r="I9" s="3">
        <f t="shared" si="0"/>
        <v>408000</v>
      </c>
      <c r="K9" t="s">
        <v>55</v>
      </c>
    </row>
    <row r="10" spans="3:17">
      <c r="D10" t="s">
        <v>8</v>
      </c>
      <c r="G10" s="3">
        <v>125000</v>
      </c>
      <c r="H10" s="3">
        <v>150000</v>
      </c>
      <c r="I10" s="3">
        <v>175000</v>
      </c>
      <c r="K10" t="s">
        <v>45</v>
      </c>
    </row>
    <row r="11" spans="3:17">
      <c r="D11" t="s">
        <v>7</v>
      </c>
      <c r="G11" s="3">
        <f>H11*0.9</f>
        <v>315000</v>
      </c>
      <c r="H11" s="3">
        <f>G56</f>
        <v>350000</v>
      </c>
      <c r="I11" s="3">
        <f>H11*1.1</f>
        <v>385000.00000000006</v>
      </c>
      <c r="K11" s="13" t="s">
        <v>62</v>
      </c>
    </row>
    <row r="12" spans="3:17">
      <c r="D12" t="s">
        <v>6</v>
      </c>
      <c r="G12" s="3">
        <v>150000</v>
      </c>
      <c r="H12" s="3">
        <v>175000</v>
      </c>
      <c r="I12" s="3">
        <v>200000</v>
      </c>
    </row>
    <row r="13" spans="3:17">
      <c r="D13" t="s">
        <v>9</v>
      </c>
      <c r="G13" s="3">
        <v>0</v>
      </c>
      <c r="H13" s="3">
        <v>0</v>
      </c>
      <c r="I13" s="3">
        <v>0</v>
      </c>
    </row>
    <row r="14" spans="3:17">
      <c r="C14" s="1" t="s">
        <v>10</v>
      </c>
      <c r="G14" s="5">
        <f>SUM(G9:G13)</f>
        <v>862000</v>
      </c>
      <c r="H14" s="5">
        <f t="shared" ref="H14:I14" si="1">SUM(H9:H13)</f>
        <v>1015000</v>
      </c>
      <c r="I14" s="5">
        <f t="shared" si="1"/>
        <v>1168000</v>
      </c>
    </row>
    <row r="16" spans="3:17">
      <c r="C16" s="1" t="s">
        <v>11</v>
      </c>
    </row>
    <row r="17" spans="4:11">
      <c r="D17" t="s">
        <v>12</v>
      </c>
      <c r="G17" s="3">
        <f>$D61*($D58*120000+$D59*60000+$D60*50000)</f>
        <v>70000</v>
      </c>
      <c r="H17" s="3">
        <f t="shared" ref="H17:I17" si="2">$D61*($D58*120000+$D59*60000+$D60*50000)</f>
        <v>70000</v>
      </c>
      <c r="I17" s="3">
        <f t="shared" si="2"/>
        <v>70000</v>
      </c>
      <c r="K17" s="10" t="s">
        <v>46</v>
      </c>
    </row>
    <row r="18" spans="4:11">
      <c r="D18" t="s">
        <v>13</v>
      </c>
      <c r="G18" s="3">
        <v>0</v>
      </c>
      <c r="H18" s="3">
        <v>0</v>
      </c>
      <c r="I18" s="3">
        <v>0</v>
      </c>
    </row>
    <row r="19" spans="4:11">
      <c r="D19" t="s">
        <v>14</v>
      </c>
      <c r="G19" s="3">
        <f>0.34*G17</f>
        <v>23800</v>
      </c>
      <c r="H19" s="3">
        <f t="shared" ref="H19:I19" si="3">0.34*H17</f>
        <v>23800</v>
      </c>
      <c r="I19" s="3">
        <f t="shared" si="3"/>
        <v>23800</v>
      </c>
      <c r="K19" t="s">
        <v>47</v>
      </c>
    </row>
    <row r="20" spans="4:11">
      <c r="D20" t="s">
        <v>15</v>
      </c>
      <c r="G20" s="5">
        <f>SUM(G17:G19)</f>
        <v>93800</v>
      </c>
      <c r="H20" s="5">
        <f t="shared" ref="H20:I20" si="4">SUM(H17:H19)</f>
        <v>93800</v>
      </c>
      <c r="I20" s="5">
        <f t="shared" si="4"/>
        <v>93800</v>
      </c>
    </row>
    <row r="21" spans="4:11">
      <c r="G21" s="6"/>
      <c r="H21" s="6"/>
      <c r="I21" s="6"/>
    </row>
    <row r="22" spans="4:11">
      <c r="D22" t="s">
        <v>16</v>
      </c>
      <c r="G22" s="3">
        <v>10000</v>
      </c>
      <c r="H22" s="3">
        <v>10000</v>
      </c>
      <c r="I22" s="3">
        <v>10000</v>
      </c>
    </row>
    <row r="24" spans="4:11">
      <c r="D24" t="s">
        <v>17</v>
      </c>
      <c r="G24" s="3">
        <f>$D63*$D64</f>
        <v>56400</v>
      </c>
      <c r="H24" s="3">
        <f t="shared" ref="H24:I24" si="5">$D63*$D64</f>
        <v>56400</v>
      </c>
      <c r="I24" s="3">
        <f t="shared" si="5"/>
        <v>56400</v>
      </c>
      <c r="K24" s="10" t="s">
        <v>48</v>
      </c>
    </row>
    <row r="25" spans="4:11">
      <c r="D25" t="s">
        <v>18</v>
      </c>
      <c r="G25" s="3">
        <v>0</v>
      </c>
      <c r="H25" s="3">
        <v>0</v>
      </c>
      <c r="I25" s="3">
        <v>0</v>
      </c>
    </row>
    <row r="26" spans="4:11">
      <c r="D26" t="s">
        <v>19</v>
      </c>
      <c r="G26" s="5">
        <f>SUM(G24:G25)</f>
        <v>56400</v>
      </c>
      <c r="H26" s="5">
        <f t="shared" ref="H26:I26" si="6">SUM(H24:H25)</f>
        <v>56400</v>
      </c>
      <c r="I26" s="5">
        <f t="shared" si="6"/>
        <v>56400</v>
      </c>
    </row>
    <row r="28" spans="4:11">
      <c r="D28" t="s">
        <v>20</v>
      </c>
      <c r="G28" s="3">
        <v>340000</v>
      </c>
      <c r="H28" s="3">
        <v>350000</v>
      </c>
      <c r="I28" s="3">
        <v>360000</v>
      </c>
      <c r="K28" t="s">
        <v>49</v>
      </c>
    </row>
    <row r="29" spans="4:11">
      <c r="D29" t="s">
        <v>52</v>
      </c>
      <c r="G29" s="3">
        <v>400000</v>
      </c>
      <c r="H29" s="3">
        <v>415000</v>
      </c>
      <c r="I29" s="3">
        <v>430000</v>
      </c>
      <c r="K29" s="13" t="s">
        <v>64</v>
      </c>
    </row>
    <row r="30" spans="4:11">
      <c r="D30" t="s">
        <v>22</v>
      </c>
      <c r="G30" s="3">
        <f>H30*0.9</f>
        <v>90000</v>
      </c>
      <c r="H30" s="3">
        <v>100000</v>
      </c>
      <c r="I30" s="3">
        <f>H30*1.1</f>
        <v>110000.00000000001</v>
      </c>
      <c r="K30" t="s">
        <v>50</v>
      </c>
    </row>
    <row r="31" spans="4:11">
      <c r="D31" t="s">
        <v>23</v>
      </c>
      <c r="G31" s="5">
        <f>SUM(G28:G30)</f>
        <v>830000</v>
      </c>
      <c r="H31" s="5">
        <f t="shared" ref="H31:I31" si="7">SUM(H28:H30)</f>
        <v>865000</v>
      </c>
      <c r="I31" s="5">
        <f t="shared" si="7"/>
        <v>900000</v>
      </c>
    </row>
    <row r="33" spans="1:17">
      <c r="D33" t="s">
        <v>24</v>
      </c>
      <c r="G33" s="3">
        <v>20000</v>
      </c>
      <c r="H33" s="3">
        <v>25000</v>
      </c>
      <c r="I33" s="3">
        <v>30000</v>
      </c>
      <c r="K33" t="s">
        <v>51</v>
      </c>
    </row>
    <row r="35" spans="1:17">
      <c r="D35" t="s">
        <v>25</v>
      </c>
      <c r="G35" s="5">
        <f>G33+G31+G26+G22+G20</f>
        <v>1010200</v>
      </c>
      <c r="H35" s="5">
        <f t="shared" ref="H35:I35" si="8">H33+H31+H26+H22+H20</f>
        <v>1050200</v>
      </c>
      <c r="I35" s="5">
        <f t="shared" si="8"/>
        <v>1090200</v>
      </c>
    </row>
    <row r="37" spans="1:17">
      <c r="D37" t="s">
        <v>26</v>
      </c>
      <c r="G37" s="3">
        <f>0.2*G35</f>
        <v>202040</v>
      </c>
      <c r="H37" s="3">
        <f t="shared" ref="H37:I37" si="9">0.2*H35</f>
        <v>210040</v>
      </c>
      <c r="I37" s="3">
        <f t="shared" si="9"/>
        <v>218040</v>
      </c>
    </row>
    <row r="39" spans="1:17">
      <c r="C39" s="1" t="s">
        <v>27</v>
      </c>
      <c r="G39" s="5">
        <f>SUM(G35:G38)</f>
        <v>1212240</v>
      </c>
      <c r="H39" s="5">
        <f t="shared" ref="H39:I39" si="10">SUM(H35:H38)</f>
        <v>1260240</v>
      </c>
      <c r="I39" s="5">
        <f t="shared" si="10"/>
        <v>1308240</v>
      </c>
    </row>
    <row r="41" spans="1:17">
      <c r="C41" s="1" t="s">
        <v>28</v>
      </c>
      <c r="G41" s="5">
        <f>G14-G39</f>
        <v>-350240</v>
      </c>
      <c r="H41" s="5">
        <f t="shared" ref="H41:I41" si="11">H14-H39</f>
        <v>-245240</v>
      </c>
      <c r="I41" s="5">
        <f t="shared" si="11"/>
        <v>-140240</v>
      </c>
    </row>
    <row r="43" spans="1:17">
      <c r="C43" s="10" t="s">
        <v>53</v>
      </c>
    </row>
    <row r="44" spans="1:17">
      <c r="C44" s="10" t="s">
        <v>63</v>
      </c>
    </row>
    <row r="46" spans="1:17">
      <c r="A46" s="11"/>
      <c r="B46" s="11"/>
      <c r="C46" s="11"/>
      <c r="D46" s="11"/>
      <c r="E46" s="11"/>
      <c r="F46" s="11"/>
      <c r="G46" s="12"/>
      <c r="H46" s="12"/>
      <c r="I46" s="12"/>
      <c r="J46" s="11"/>
      <c r="K46" s="11"/>
      <c r="L46" s="11"/>
      <c r="M46" s="11"/>
      <c r="N46" s="11"/>
      <c r="O46" s="11"/>
      <c r="P46" s="11"/>
      <c r="Q46" s="11"/>
    </row>
    <row r="47" spans="1:17">
      <c r="C47" s="9" t="s">
        <v>29</v>
      </c>
    </row>
    <row r="48" spans="1:17">
      <c r="D48" s="7">
        <v>0.3</v>
      </c>
      <c r="E48" t="s">
        <v>54</v>
      </c>
    </row>
    <row r="49" spans="4:9">
      <c r="D49" s="7"/>
    </row>
    <row r="50" spans="4:9">
      <c r="D50" s="7" t="s">
        <v>56</v>
      </c>
    </row>
    <row r="51" spans="4:9">
      <c r="D51" s="3">
        <v>1</v>
      </c>
      <c r="E51" t="s">
        <v>61</v>
      </c>
      <c r="F51" s="3">
        <v>50000</v>
      </c>
      <c r="G51" s="3">
        <f>F51*D51</f>
        <v>50000</v>
      </c>
    </row>
    <row r="52" spans="4:9">
      <c r="D52" s="3">
        <v>2</v>
      </c>
      <c r="E52" t="s">
        <v>60</v>
      </c>
      <c r="F52" s="3">
        <v>25000</v>
      </c>
      <c r="G52" s="3">
        <f t="shared" ref="G52:G55" si="12">F52*D52</f>
        <v>50000</v>
      </c>
    </row>
    <row r="53" spans="4:9">
      <c r="D53" s="3">
        <v>10</v>
      </c>
      <c r="E53" t="s">
        <v>59</v>
      </c>
      <c r="F53" s="3">
        <v>10000</v>
      </c>
      <c r="G53" s="3">
        <f t="shared" si="12"/>
        <v>100000</v>
      </c>
    </row>
    <row r="54" spans="4:9">
      <c r="D54" s="3">
        <v>12</v>
      </c>
      <c r="E54" t="s">
        <v>58</v>
      </c>
      <c r="F54" s="3">
        <v>7500</v>
      </c>
      <c r="G54" s="3">
        <f t="shared" si="12"/>
        <v>90000</v>
      </c>
    </row>
    <row r="55" spans="4:9">
      <c r="D55" s="3">
        <v>20</v>
      </c>
      <c r="E55" t="s">
        <v>57</v>
      </c>
      <c r="F55" s="3">
        <v>3000</v>
      </c>
      <c r="G55" s="3">
        <f t="shared" si="12"/>
        <v>60000</v>
      </c>
    </row>
    <row r="56" spans="4:9">
      <c r="D56" s="3"/>
      <c r="G56" s="5">
        <f>SUM(G51:G55)</f>
        <v>350000</v>
      </c>
    </row>
    <row r="57" spans="4:9">
      <c r="D57" t="s">
        <v>31</v>
      </c>
    </row>
    <row r="58" spans="4:9">
      <c r="D58">
        <v>4</v>
      </c>
      <c r="E58" t="s">
        <v>32</v>
      </c>
    </row>
    <row r="59" spans="4:9">
      <c r="D59">
        <v>2</v>
      </c>
      <c r="E59" t="s">
        <v>33</v>
      </c>
    </row>
    <row r="60" spans="4:9">
      <c r="D60">
        <v>2</v>
      </c>
      <c r="E60" t="s">
        <v>34</v>
      </c>
      <c r="G60"/>
      <c r="H60"/>
      <c r="I60"/>
    </row>
    <row r="61" spans="4:9">
      <c r="D61" s="7">
        <v>0.1</v>
      </c>
      <c r="E61" t="s">
        <v>35</v>
      </c>
      <c r="G61"/>
      <c r="H61"/>
      <c r="I61"/>
    </row>
    <row r="62" spans="4:9">
      <c r="D62" t="s">
        <v>36</v>
      </c>
      <c r="G62"/>
      <c r="H62"/>
      <c r="I62"/>
    </row>
    <row r="63" spans="4:9">
      <c r="D63">
        <v>12</v>
      </c>
      <c r="E63" t="s">
        <v>37</v>
      </c>
      <c r="G63"/>
      <c r="H63"/>
      <c r="I63"/>
    </row>
    <row r="64" spans="4:9">
      <c r="D64">
        <v>4700</v>
      </c>
      <c r="E64" t="s">
        <v>38</v>
      </c>
      <c r="G64"/>
      <c r="H64"/>
      <c r="I64"/>
    </row>
  </sheetData>
  <phoneticPr fontId="14" type="noConversion"/>
  <pageMargins left="0.25" right="0.25" top="0.75" bottom="0.75" header="0.3" footer="0.3"/>
  <pageSetup scale="81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R113"/>
  <sheetViews>
    <sheetView tabSelected="1" topLeftCell="A5" zoomScale="75" zoomScaleNormal="75" zoomScalePageLayoutView="75" workbookViewId="0">
      <selection activeCell="R22" sqref="R22"/>
    </sheetView>
  </sheetViews>
  <sheetFormatPr baseColWidth="10" defaultColWidth="8.6640625" defaultRowHeight="14" x14ac:dyDescent="0"/>
  <cols>
    <col min="1" max="2" width="3.33203125" customWidth="1"/>
    <col min="3" max="3" width="1.6640625" customWidth="1"/>
    <col min="4" max="4" width="13.6640625" bestFit="1" customWidth="1"/>
    <col min="6" max="6" width="15.5" customWidth="1"/>
    <col min="7" max="7" width="2.1640625" style="3" customWidth="1"/>
    <col min="8" max="8" width="15.33203125" style="3" customWidth="1"/>
    <col min="9" max="9" width="16.1640625" style="3" customWidth="1"/>
    <col min="10" max="10" width="5.1640625" style="3" customWidth="1"/>
    <col min="11" max="11" width="2.1640625" customWidth="1"/>
    <col min="12" max="12" width="15.6640625" customWidth="1"/>
    <col min="17" max="17" width="19.33203125" customWidth="1"/>
  </cols>
  <sheetData>
    <row r="2" spans="1:18" ht="15">
      <c r="C2" s="2" t="s">
        <v>1</v>
      </c>
    </row>
    <row r="3" spans="1:18">
      <c r="C3" s="1" t="s">
        <v>0</v>
      </c>
    </row>
    <row r="4" spans="1:18">
      <c r="C4" s="1" t="s">
        <v>113</v>
      </c>
    </row>
    <row r="5" spans="1:18">
      <c r="C5" s="1"/>
    </row>
    <row r="6" spans="1:18">
      <c r="G6" s="16">
        <v>800</v>
      </c>
      <c r="H6" s="16">
        <v>1000</v>
      </c>
      <c r="I6" s="16">
        <v>1200</v>
      </c>
      <c r="J6" s="16"/>
    </row>
    <row r="7" spans="1:18">
      <c r="G7" s="4" t="s">
        <v>5</v>
      </c>
      <c r="H7" s="4" t="s">
        <v>5</v>
      </c>
      <c r="I7" s="4" t="s">
        <v>5</v>
      </c>
      <c r="J7" s="24"/>
      <c r="L7" s="14" t="s">
        <v>44</v>
      </c>
      <c r="M7" s="15"/>
      <c r="N7" s="15"/>
      <c r="O7" s="15"/>
      <c r="P7" s="15"/>
      <c r="Q7" s="15"/>
      <c r="R7" s="15"/>
    </row>
    <row r="9" spans="1:18">
      <c r="M9" s="78">
        <f>2*4*3*3</f>
        <v>72</v>
      </c>
    </row>
    <row r="10" spans="1:18" s="18" customFormat="1" ht="18">
      <c r="A10" s="17"/>
      <c r="B10" s="17" t="s">
        <v>72</v>
      </c>
      <c r="C10" s="17" t="s">
        <v>75</v>
      </c>
      <c r="G10" s="28"/>
      <c r="H10" s="28"/>
      <c r="I10" s="28"/>
      <c r="J10" s="28"/>
    </row>
    <row r="12" spans="1:18">
      <c r="D12" t="s">
        <v>20</v>
      </c>
      <c r="G12" s="3">
        <v>340000</v>
      </c>
      <c r="H12" s="3">
        <v>465800</v>
      </c>
      <c r="I12" s="3">
        <f>H12+72600</f>
        <v>538400</v>
      </c>
      <c r="L12" t="s">
        <v>49</v>
      </c>
    </row>
    <row r="13" spans="1:18">
      <c r="D13" t="s">
        <v>52</v>
      </c>
      <c r="G13" s="3">
        <v>350000</v>
      </c>
      <c r="H13" s="3">
        <v>315000</v>
      </c>
      <c r="I13" s="3">
        <v>325000</v>
      </c>
      <c r="L13" s="13" t="s">
        <v>112</v>
      </c>
    </row>
    <row r="14" spans="1:18">
      <c r="D14" t="s">
        <v>22</v>
      </c>
      <c r="G14" s="3">
        <f>H14*0.9</f>
        <v>63000</v>
      </c>
      <c r="H14" s="3">
        <v>70000</v>
      </c>
      <c r="I14" s="3">
        <v>75000</v>
      </c>
      <c r="L14" t="s">
        <v>66</v>
      </c>
    </row>
    <row r="15" spans="1:18">
      <c r="D15" t="s">
        <v>23</v>
      </c>
      <c r="G15" s="5">
        <f>SUM(G12:G14)</f>
        <v>753000</v>
      </c>
      <c r="H15" s="5">
        <f>SUM(H12:H14)</f>
        <v>850800</v>
      </c>
      <c r="I15" s="5">
        <f>SUM(I12:I14)</f>
        <v>938400</v>
      </c>
      <c r="J15" s="6"/>
    </row>
    <row r="17" spans="2:12">
      <c r="D17" t="s">
        <v>24</v>
      </c>
      <c r="G17" s="3">
        <v>20000</v>
      </c>
      <c r="H17" s="3">
        <v>25000</v>
      </c>
      <c r="I17" s="3">
        <v>30000</v>
      </c>
      <c r="L17" t="s">
        <v>51</v>
      </c>
    </row>
    <row r="19" spans="2:12">
      <c r="D19" t="s">
        <v>25</v>
      </c>
      <c r="G19" s="5">
        <f>G17+G15+F42+F29+F38+F36</f>
        <v>773000</v>
      </c>
      <c r="H19" s="5">
        <f>SUM(H15:H17)</f>
        <v>875800</v>
      </c>
      <c r="I19" s="5">
        <f>SUM(I15:I17)</f>
        <v>968400</v>
      </c>
      <c r="J19" s="6"/>
    </row>
    <row r="21" spans="2:12">
      <c r="D21" t="s">
        <v>26</v>
      </c>
      <c r="G21" s="3">
        <f>0.2*G19</f>
        <v>154600</v>
      </c>
      <c r="H21" s="3">
        <f>0.2*H19</f>
        <v>175160</v>
      </c>
      <c r="I21" s="3">
        <f>0.2*I19</f>
        <v>193680</v>
      </c>
    </row>
    <row r="23" spans="2:12" ht="18">
      <c r="B23" s="1" t="s">
        <v>72</v>
      </c>
      <c r="C23" s="17" t="s">
        <v>85</v>
      </c>
      <c r="D23" s="17"/>
      <c r="E23" s="17"/>
      <c r="F23" s="17"/>
      <c r="G23" s="19">
        <f>SUM(G19:G22)</f>
        <v>927600</v>
      </c>
      <c r="H23" s="19">
        <f>SUM(H19:H21)</f>
        <v>1050960</v>
      </c>
      <c r="I23" s="19">
        <f>SUM(I19:I21)</f>
        <v>1162080</v>
      </c>
      <c r="J23" s="25"/>
    </row>
    <row r="26" spans="2:12">
      <c r="C26" s="10" t="s">
        <v>71</v>
      </c>
    </row>
    <row r="28" spans="2:12" s="17" customFormat="1" ht="18">
      <c r="B28" s="17" t="s">
        <v>73</v>
      </c>
      <c r="C28" s="17" t="s">
        <v>74</v>
      </c>
      <c r="G28" s="29"/>
      <c r="H28" s="29"/>
      <c r="I28" s="29"/>
    </row>
    <row r="29" spans="2:12" hidden="1">
      <c r="C29" t="s">
        <v>70</v>
      </c>
      <c r="F29" s="3"/>
      <c r="G29" s="3">
        <v>12000</v>
      </c>
      <c r="H29" s="3">
        <v>12000</v>
      </c>
      <c r="I29"/>
      <c r="J29"/>
      <c r="K29" s="10" t="s">
        <v>79</v>
      </c>
      <c r="L29" s="10"/>
    </row>
    <row r="30" spans="2:12" hidden="1"/>
    <row r="31" spans="2:12" hidden="1">
      <c r="C31" s="1" t="s">
        <v>80</v>
      </c>
    </row>
    <row r="32" spans="2:12" hidden="1">
      <c r="C32" t="s">
        <v>76</v>
      </c>
      <c r="F32" s="3"/>
      <c r="G32" s="3">
        <v>65000</v>
      </c>
      <c r="H32" s="3">
        <v>80000</v>
      </c>
      <c r="I32"/>
      <c r="J32"/>
      <c r="K32" s="10" t="s">
        <v>67</v>
      </c>
    </row>
    <row r="33" spans="1:11" s="20" customFormat="1" hidden="1">
      <c r="C33" s="20" t="s">
        <v>77</v>
      </c>
      <c r="F33" s="21"/>
      <c r="G33" s="21"/>
      <c r="H33" s="21"/>
      <c r="I33" s="23">
        <v>40000</v>
      </c>
      <c r="J33" s="23"/>
      <c r="K33" s="22" t="s">
        <v>78</v>
      </c>
    </row>
    <row r="34" spans="1:11" hidden="1">
      <c r="C34" t="s">
        <v>13</v>
      </c>
      <c r="F34" s="3"/>
      <c r="G34" s="3">
        <v>0</v>
      </c>
      <c r="H34" s="3">
        <v>0</v>
      </c>
      <c r="I34"/>
      <c r="J34"/>
    </row>
    <row r="35" spans="1:11" hidden="1">
      <c r="C35" t="s">
        <v>14</v>
      </c>
      <c r="F35" s="3"/>
      <c r="G35" s="3">
        <f t="shared" ref="G35:H35" si="0">0.34*G32</f>
        <v>22100</v>
      </c>
      <c r="H35" s="3">
        <f t="shared" si="0"/>
        <v>27200.000000000004</v>
      </c>
      <c r="I35"/>
      <c r="J35"/>
      <c r="K35" t="s">
        <v>47</v>
      </c>
    </row>
    <row r="36" spans="1:11" hidden="1">
      <c r="C36" t="s">
        <v>15</v>
      </c>
      <c r="F36" s="5"/>
      <c r="G36" s="5">
        <f t="shared" ref="G36" si="1">SUM(G32:G35)</f>
        <v>87100</v>
      </c>
      <c r="H36" s="5">
        <f>SUM(H29:H35)</f>
        <v>119200</v>
      </c>
      <c r="I36"/>
      <c r="J36"/>
    </row>
    <row r="37" spans="1:11" hidden="1">
      <c r="A37" s="11"/>
      <c r="F37" s="6"/>
      <c r="G37" s="6"/>
      <c r="H37" s="6"/>
      <c r="I37"/>
      <c r="J37"/>
    </row>
    <row r="38" spans="1:11" hidden="1">
      <c r="C38" t="s">
        <v>16</v>
      </c>
      <c r="F38" s="3"/>
      <c r="G38" s="3">
        <v>10000</v>
      </c>
      <c r="H38" s="3">
        <v>10000</v>
      </c>
      <c r="I38"/>
      <c r="J38"/>
    </row>
    <row r="39" spans="1:11" hidden="1">
      <c r="E39" s="3"/>
      <c r="F39" s="3"/>
      <c r="H39"/>
      <c r="I39"/>
      <c r="J39"/>
    </row>
    <row r="40" spans="1:11" hidden="1">
      <c r="C40" t="s">
        <v>17</v>
      </c>
      <c r="F40" s="3"/>
      <c r="G40" s="3" t="e">
        <f>#REF!*#REF!</f>
        <v>#REF!</v>
      </c>
      <c r="H40" s="3">
        <v>4700</v>
      </c>
      <c r="I40"/>
      <c r="J40"/>
      <c r="K40" s="10" t="s">
        <v>68</v>
      </c>
    </row>
    <row r="41" spans="1:11" hidden="1">
      <c r="C41" t="s">
        <v>18</v>
      </c>
      <c r="F41" s="3"/>
      <c r="G41" s="3">
        <v>0</v>
      </c>
      <c r="H41" s="3">
        <v>0</v>
      </c>
      <c r="I41"/>
      <c r="J41"/>
    </row>
    <row r="42" spans="1:11" hidden="1">
      <c r="C42" t="s">
        <v>19</v>
      </c>
      <c r="F42" s="5"/>
      <c r="G42" s="5" t="e">
        <f t="shared" ref="G42:H42" si="2">SUM(G40:G41)</f>
        <v>#REF!</v>
      </c>
      <c r="H42" s="5">
        <f t="shared" si="2"/>
        <v>4700</v>
      </c>
      <c r="I42"/>
      <c r="J42"/>
    </row>
    <row r="43" spans="1:11" hidden="1">
      <c r="F43" s="6"/>
      <c r="G43" s="6"/>
      <c r="H43" s="6"/>
      <c r="I43"/>
      <c r="J43"/>
    </row>
    <row r="44" spans="1:11" s="17" customFormat="1" ht="18" hidden="1">
      <c r="C44" s="1" t="s">
        <v>86</v>
      </c>
      <c r="D44" s="1"/>
      <c r="E44" s="1"/>
      <c r="F44" s="26"/>
      <c r="G44" s="26"/>
      <c r="H44" s="26">
        <f>SUM(H29+H36+H42)</f>
        <v>135900</v>
      </c>
    </row>
    <row r="45" spans="1:11" hidden="1">
      <c r="F45" s="6"/>
      <c r="G45" s="6"/>
      <c r="H45" s="6"/>
      <c r="I45"/>
      <c r="J45"/>
    </row>
    <row r="46" spans="1:11" hidden="1">
      <c r="F46" s="6"/>
      <c r="G46" s="6"/>
      <c r="H46" s="6"/>
      <c r="I46"/>
      <c r="J46"/>
    </row>
    <row r="47" spans="1:11" hidden="1">
      <c r="C47" s="50" t="s">
        <v>101</v>
      </c>
      <c r="D47" s="50"/>
      <c r="E47" s="50"/>
      <c r="F47" s="50"/>
      <c r="G47" s="51"/>
      <c r="H47" s="51"/>
    </row>
    <row r="48" spans="1:11" hidden="1">
      <c r="C48" s="52" t="s">
        <v>76</v>
      </c>
      <c r="D48" s="52"/>
      <c r="E48" s="52"/>
      <c r="F48" s="53">
        <v>0</v>
      </c>
      <c r="G48" s="54">
        <v>65000</v>
      </c>
      <c r="H48" s="54">
        <v>0</v>
      </c>
    </row>
    <row r="49" spans="3:13" hidden="1">
      <c r="C49" s="55" t="s">
        <v>77</v>
      </c>
      <c r="D49" s="55"/>
      <c r="E49" s="55"/>
      <c r="F49" s="56"/>
      <c r="G49" s="57"/>
      <c r="H49" s="56"/>
      <c r="I49" s="3">
        <v>59000</v>
      </c>
      <c r="K49" t="s">
        <v>111</v>
      </c>
    </row>
    <row r="50" spans="3:13" hidden="1">
      <c r="C50" s="52" t="s">
        <v>14</v>
      </c>
      <c r="D50" s="52"/>
      <c r="E50" s="52"/>
      <c r="F50" s="54"/>
      <c r="G50" s="54">
        <f>0.34*G48</f>
        <v>22100</v>
      </c>
      <c r="H50" s="54"/>
    </row>
    <row r="51" spans="3:13" hidden="1">
      <c r="C51" s="52" t="s">
        <v>15</v>
      </c>
      <c r="D51" s="52"/>
      <c r="E51" s="52"/>
      <c r="F51" s="58"/>
      <c r="G51" s="58">
        <f>SUM(G48:G50)</f>
        <v>87100</v>
      </c>
      <c r="H51" s="58">
        <f>SUM(H48:H50)</f>
        <v>0</v>
      </c>
    </row>
    <row r="52" spans="3:13" hidden="1">
      <c r="C52" s="52"/>
      <c r="D52" s="52"/>
      <c r="E52" s="52"/>
      <c r="F52" s="59"/>
      <c r="G52" s="59"/>
      <c r="H52" s="59"/>
    </row>
    <row r="53" spans="3:13" hidden="1">
      <c r="C53" s="52" t="s">
        <v>103</v>
      </c>
      <c r="D53" s="52"/>
      <c r="E53" s="52"/>
      <c r="F53" s="54"/>
      <c r="G53" s="54">
        <v>10000</v>
      </c>
      <c r="H53" s="54">
        <v>19800</v>
      </c>
      <c r="K53" t="s">
        <v>102</v>
      </c>
    </row>
    <row r="54" spans="3:13" hidden="1">
      <c r="C54" s="52" t="s">
        <v>104</v>
      </c>
      <c r="D54" s="52"/>
      <c r="E54" s="54"/>
      <c r="F54" s="54"/>
      <c r="G54" s="54"/>
      <c r="H54" s="52">
        <v>6000</v>
      </c>
    </row>
    <row r="55" spans="3:13" hidden="1">
      <c r="C55" s="52" t="s">
        <v>108</v>
      </c>
      <c r="D55" s="52"/>
      <c r="E55" s="54"/>
      <c r="F55" s="54"/>
      <c r="G55" s="54"/>
      <c r="H55" s="52">
        <v>1500</v>
      </c>
    </row>
    <row r="56" spans="3:13" hidden="1">
      <c r="C56" s="52" t="s">
        <v>105</v>
      </c>
      <c r="D56" s="52"/>
      <c r="E56" s="54"/>
      <c r="F56" s="54"/>
      <c r="G56" s="54"/>
      <c r="H56" s="52">
        <v>7000</v>
      </c>
    </row>
    <row r="57" spans="3:13" s="69" customFormat="1" hidden="1">
      <c r="C57" s="65" t="s">
        <v>106</v>
      </c>
      <c r="D57" s="65"/>
      <c r="E57" s="66"/>
      <c r="F57" s="67"/>
      <c r="G57" s="66"/>
      <c r="H57" s="65">
        <v>20000</v>
      </c>
      <c r="I57" s="68"/>
      <c r="J57" s="68"/>
      <c r="K57" s="69" t="s">
        <v>107</v>
      </c>
    </row>
    <row r="58" spans="3:13" hidden="1">
      <c r="C58" s="52" t="s">
        <v>18</v>
      </c>
      <c r="D58" s="52"/>
      <c r="E58" s="52"/>
      <c r="F58" s="54"/>
      <c r="G58" s="54">
        <v>0</v>
      </c>
      <c r="H58" s="54"/>
      <c r="M58" s="49"/>
    </row>
    <row r="59" spans="3:13" hidden="1">
      <c r="C59" s="52" t="s">
        <v>19</v>
      </c>
      <c r="D59" s="52"/>
      <c r="E59" s="52"/>
      <c r="F59" s="58"/>
      <c r="G59" s="58">
        <f>SUM(G58:G58)</f>
        <v>0</v>
      </c>
      <c r="H59" s="58">
        <f>SUM(H53:H58)</f>
        <v>54300</v>
      </c>
    </row>
    <row r="60" spans="3:13" ht="15" hidden="1" thickBot="1">
      <c r="C60" s="52"/>
      <c r="D60" s="52"/>
      <c r="E60" s="52"/>
      <c r="F60" s="52"/>
      <c r="G60" s="54"/>
      <c r="H60" s="54"/>
    </row>
    <row r="61" spans="3:13" ht="15" hidden="1" thickBot="1">
      <c r="C61" s="50" t="s">
        <v>109</v>
      </c>
      <c r="D61" s="60"/>
      <c r="E61" s="61"/>
      <c r="F61" s="62">
        <f>H59</f>
        <v>54300</v>
      </c>
      <c r="G61" s="54"/>
      <c r="H61" s="54"/>
    </row>
    <row r="62" spans="3:13" hidden="1">
      <c r="C62" s="70" t="s">
        <v>110</v>
      </c>
      <c r="D62" s="63"/>
      <c r="E62" s="63"/>
      <c r="F62" s="64">
        <f>I49</f>
        <v>59000</v>
      </c>
      <c r="G62" s="54"/>
      <c r="H62" s="54"/>
    </row>
    <row r="63" spans="3:13" hidden="1">
      <c r="C63" s="52"/>
      <c r="D63" s="63"/>
      <c r="E63" s="63"/>
      <c r="F63" s="64"/>
      <c r="G63" s="54"/>
      <c r="H63" s="54"/>
    </row>
    <row r="64" spans="3:13" hidden="1">
      <c r="C64" s="72"/>
      <c r="D64" s="73"/>
      <c r="E64" s="74"/>
      <c r="F64" s="75"/>
      <c r="G64" s="76"/>
      <c r="H64" s="76"/>
    </row>
    <row r="65" spans="1:12">
      <c r="C65" s="72"/>
      <c r="D65" s="74"/>
      <c r="E65" s="74"/>
      <c r="F65" s="75"/>
      <c r="G65" s="76"/>
      <c r="H65" s="76"/>
    </row>
    <row r="66" spans="1:12" ht="18">
      <c r="A66" s="17"/>
      <c r="B66" s="17" t="s">
        <v>73</v>
      </c>
      <c r="C66" s="17" t="s">
        <v>87</v>
      </c>
      <c r="E66" s="17"/>
      <c r="F66" s="17"/>
      <c r="G66" s="29"/>
      <c r="H66" s="29">
        <v>324458</v>
      </c>
      <c r="I66" s="29">
        <v>324458</v>
      </c>
    </row>
    <row r="68" spans="1:12" ht="18">
      <c r="L68" s="18"/>
    </row>
    <row r="69" spans="1:12" s="18" customFormat="1" ht="18">
      <c r="B69" s="17" t="s">
        <v>84</v>
      </c>
      <c r="C69" s="17" t="s">
        <v>3</v>
      </c>
      <c r="G69" s="28"/>
      <c r="H69" s="28"/>
      <c r="I69" s="28"/>
      <c r="J69" s="28"/>
      <c r="L69" t="s">
        <v>69</v>
      </c>
    </row>
    <row r="70" spans="1:12">
      <c r="D70" t="s">
        <v>4</v>
      </c>
      <c r="G70" s="3">
        <f>$D$84*G6*300+(1-$D$84)*G6*500</f>
        <v>320000</v>
      </c>
      <c r="H70" s="3">
        <f>$D$84*H6*300+(1-$D$84)*H6*500</f>
        <v>400000</v>
      </c>
      <c r="I70" s="3">
        <f>$D$84*I6*300+(1-$D$84)*I6*500</f>
        <v>480000</v>
      </c>
      <c r="L70" s="13" t="s">
        <v>92</v>
      </c>
    </row>
    <row r="71" spans="1:12">
      <c r="D71" t="s">
        <v>7</v>
      </c>
      <c r="G71" s="3">
        <f>H71*0.9</f>
        <v>490500</v>
      </c>
      <c r="H71" s="3">
        <v>545000</v>
      </c>
      <c r="I71" s="3">
        <v>545000</v>
      </c>
    </row>
    <row r="72" spans="1:12" ht="18">
      <c r="D72" t="s">
        <v>6</v>
      </c>
      <c r="G72" s="3">
        <v>150000</v>
      </c>
      <c r="H72" s="3">
        <v>75000</v>
      </c>
      <c r="I72" s="3">
        <v>75000</v>
      </c>
      <c r="L72" s="17"/>
    </row>
    <row r="73" spans="1:12" s="17" customFormat="1" ht="18">
      <c r="C73" s="17" t="s">
        <v>10</v>
      </c>
      <c r="G73" s="19">
        <f>SUM(G70:G72)</f>
        <v>960500</v>
      </c>
      <c r="H73" s="19">
        <f>SUM(H70:H72)</f>
        <v>1020000</v>
      </c>
      <c r="I73" s="19">
        <f>SUM(I70:I72)</f>
        <v>1100000</v>
      </c>
      <c r="J73" s="25"/>
      <c r="L73"/>
    </row>
    <row r="76" spans="1:12" ht="18">
      <c r="B76" s="1" t="s">
        <v>72</v>
      </c>
      <c r="C76" s="17" t="s">
        <v>85</v>
      </c>
      <c r="D76" s="17"/>
      <c r="E76" s="17"/>
      <c r="F76" s="17"/>
      <c r="G76" s="19">
        <f>SUM(G72:G75)</f>
        <v>1110500</v>
      </c>
      <c r="H76" s="19">
        <f>H23</f>
        <v>1050960</v>
      </c>
      <c r="I76" s="19">
        <f>I23</f>
        <v>1162080</v>
      </c>
      <c r="L76" s="17"/>
    </row>
    <row r="77" spans="1:12" s="17" customFormat="1" ht="18">
      <c r="B77" s="17" t="s">
        <v>88</v>
      </c>
      <c r="C77" s="17" t="s">
        <v>87</v>
      </c>
      <c r="G77" s="29"/>
      <c r="H77" s="29">
        <f>H66</f>
        <v>324458</v>
      </c>
      <c r="I77" s="29">
        <f>I66</f>
        <v>324458</v>
      </c>
      <c r="J77" s="29"/>
      <c r="L77" s="30"/>
    </row>
    <row r="78" spans="1:12" s="30" customFormat="1" ht="18">
      <c r="B78" s="30" t="s">
        <v>89</v>
      </c>
      <c r="G78" s="31"/>
      <c r="H78" s="31">
        <f>SUM(H76:H77)</f>
        <v>1375418</v>
      </c>
      <c r="I78" s="31">
        <f>SUM(I76:I77)</f>
        <v>1486538</v>
      </c>
      <c r="J78" s="31"/>
    </row>
    <row r="79" spans="1:12" s="30" customFormat="1" ht="18">
      <c r="G79" s="31"/>
      <c r="H79" s="31"/>
      <c r="I79" s="31"/>
      <c r="J79" s="31"/>
    </row>
    <row r="80" spans="1:12" s="30" customFormat="1" ht="18">
      <c r="B80" s="30" t="s">
        <v>90</v>
      </c>
      <c r="C80" s="30" t="s">
        <v>91</v>
      </c>
      <c r="G80" s="31"/>
      <c r="H80" s="31">
        <f>H73</f>
        <v>1020000</v>
      </c>
      <c r="I80" s="31">
        <f>I73</f>
        <v>1100000</v>
      </c>
      <c r="J80" s="31"/>
      <c r="L80"/>
    </row>
    <row r="81" spans="2:14">
      <c r="H81" s="3">
        <f>H80-H78</f>
        <v>-355418</v>
      </c>
      <c r="I81" s="3">
        <f>I80-I78</f>
        <v>-386538</v>
      </c>
    </row>
    <row r="82" spans="2:14">
      <c r="L82" s="79"/>
    </row>
    <row r="83" spans="2:14">
      <c r="B83" s="32"/>
      <c r="C83" s="33" t="s">
        <v>29</v>
      </c>
      <c r="D83" s="34"/>
      <c r="E83" s="34"/>
      <c r="F83" s="34"/>
      <c r="G83" s="27"/>
      <c r="H83" s="27"/>
      <c r="I83" s="27"/>
      <c r="J83" s="27"/>
      <c r="K83" s="34"/>
      <c r="L83" s="39"/>
      <c r="M83" s="34"/>
      <c r="N83" s="35"/>
    </row>
    <row r="84" spans="2:14">
      <c r="B84" s="36"/>
      <c r="C84" s="37"/>
      <c r="D84" s="38">
        <v>0.5</v>
      </c>
      <c r="E84" s="39" t="s">
        <v>65</v>
      </c>
      <c r="F84" s="39"/>
      <c r="G84" s="40"/>
      <c r="H84" s="40"/>
      <c r="I84" s="40"/>
      <c r="J84" s="40"/>
      <c r="K84" s="39"/>
      <c r="L84" s="39"/>
      <c r="M84" s="39"/>
      <c r="N84" s="41"/>
    </row>
    <row r="85" spans="2:14">
      <c r="B85" s="36"/>
      <c r="C85" s="37"/>
      <c r="D85" s="38"/>
      <c r="E85" s="39"/>
      <c r="F85" s="39"/>
      <c r="G85" s="40"/>
      <c r="H85" s="40"/>
      <c r="I85" s="40"/>
      <c r="J85" s="40"/>
      <c r="K85" s="39"/>
      <c r="L85" s="39"/>
      <c r="M85" s="39"/>
      <c r="N85" s="41"/>
    </row>
    <row r="86" spans="2:14">
      <c r="B86" s="36"/>
      <c r="C86" s="37"/>
      <c r="D86" s="38" t="s">
        <v>56</v>
      </c>
      <c r="E86" s="39"/>
      <c r="F86" s="39"/>
      <c r="G86" s="40"/>
      <c r="H86" s="40"/>
      <c r="I86" s="40"/>
      <c r="J86" s="40"/>
      <c r="K86" s="39"/>
      <c r="L86" s="39"/>
      <c r="M86" s="39"/>
      <c r="N86" s="41"/>
    </row>
    <row r="87" spans="2:14">
      <c r="B87" s="36"/>
      <c r="C87" s="37"/>
      <c r="D87" s="40">
        <v>1</v>
      </c>
      <c r="E87" s="39" t="s">
        <v>61</v>
      </c>
      <c r="F87" s="40">
        <v>100000</v>
      </c>
      <c r="G87" s="40">
        <f>F87*D87</f>
        <v>100000</v>
      </c>
      <c r="H87" s="40">
        <v>100000</v>
      </c>
      <c r="I87" s="40"/>
      <c r="J87" s="40"/>
      <c r="K87" s="39"/>
      <c r="L87" s="39"/>
      <c r="M87" s="39"/>
      <c r="N87" s="41"/>
    </row>
    <row r="88" spans="2:14">
      <c r="B88" s="36"/>
      <c r="C88" s="37"/>
      <c r="D88" s="40">
        <v>2</v>
      </c>
      <c r="E88" s="39" t="s">
        <v>60</v>
      </c>
      <c r="F88" s="40">
        <v>50000</v>
      </c>
      <c r="G88" s="40">
        <f t="shared" ref="G88:G92" si="3">F88*D88</f>
        <v>100000</v>
      </c>
      <c r="H88" s="40">
        <v>50000</v>
      </c>
      <c r="I88" s="42"/>
      <c r="J88" s="40"/>
      <c r="K88" s="39"/>
      <c r="L88" s="39"/>
      <c r="M88" s="39"/>
      <c r="N88" s="41"/>
    </row>
    <row r="89" spans="2:14">
      <c r="B89" s="36"/>
      <c r="C89" s="37"/>
      <c r="D89" s="40">
        <v>5</v>
      </c>
      <c r="E89" s="39" t="s">
        <v>59</v>
      </c>
      <c r="F89" s="40">
        <v>25000</v>
      </c>
      <c r="G89" s="40">
        <f t="shared" si="3"/>
        <v>125000</v>
      </c>
      <c r="H89" s="40">
        <v>125000</v>
      </c>
      <c r="I89" s="40"/>
      <c r="J89" s="40"/>
      <c r="K89" s="39"/>
      <c r="L89" s="39"/>
      <c r="M89" s="39"/>
      <c r="N89" s="41"/>
    </row>
    <row r="90" spans="2:14">
      <c r="B90" s="36"/>
      <c r="C90" s="37"/>
      <c r="D90" s="40">
        <v>8</v>
      </c>
      <c r="E90" s="39" t="s">
        <v>58</v>
      </c>
      <c r="F90" s="40">
        <v>15000</v>
      </c>
      <c r="G90" s="40">
        <f t="shared" si="3"/>
        <v>120000</v>
      </c>
      <c r="H90" s="40">
        <v>120000</v>
      </c>
      <c r="I90" s="40"/>
      <c r="J90" s="40"/>
      <c r="K90" s="39"/>
      <c r="L90" s="39"/>
      <c r="M90" s="39"/>
      <c r="N90" s="41"/>
    </row>
    <row r="91" spans="2:14">
      <c r="B91" s="36"/>
      <c r="C91" s="37"/>
      <c r="D91" s="40">
        <v>10</v>
      </c>
      <c r="E91" s="39" t="s">
        <v>57</v>
      </c>
      <c r="F91" s="40">
        <v>5000</v>
      </c>
      <c r="G91" s="40">
        <f t="shared" si="3"/>
        <v>50000</v>
      </c>
      <c r="H91" s="40">
        <v>50000</v>
      </c>
      <c r="I91" s="40"/>
      <c r="J91" s="40"/>
      <c r="K91" s="39"/>
      <c r="L91" s="39"/>
      <c r="M91" s="39"/>
      <c r="N91" s="41"/>
    </row>
    <row r="92" spans="2:14">
      <c r="B92" s="36"/>
      <c r="C92" s="37"/>
      <c r="D92" s="40">
        <v>50</v>
      </c>
      <c r="E92" s="39" t="s">
        <v>81</v>
      </c>
      <c r="F92" s="43">
        <v>1000</v>
      </c>
      <c r="G92" s="40">
        <f t="shared" si="3"/>
        <v>50000</v>
      </c>
      <c r="H92" s="40">
        <v>50000</v>
      </c>
      <c r="I92" s="40"/>
      <c r="J92" s="40"/>
      <c r="K92" s="39"/>
      <c r="L92" s="39" t="s">
        <v>82</v>
      </c>
      <c r="M92" s="39"/>
      <c r="N92" s="41"/>
    </row>
    <row r="93" spans="2:14">
      <c r="B93" s="36"/>
      <c r="C93" s="37"/>
      <c r="D93" s="39"/>
      <c r="E93" s="39" t="s">
        <v>22</v>
      </c>
      <c r="F93" s="39"/>
      <c r="G93" s="40"/>
      <c r="H93" s="40">
        <v>50000</v>
      </c>
      <c r="I93" s="40"/>
      <c r="J93" s="40"/>
      <c r="K93" s="39"/>
      <c r="L93" s="39"/>
      <c r="M93" s="39"/>
      <c r="N93" s="41"/>
    </row>
    <row r="94" spans="2:14">
      <c r="B94" s="36"/>
      <c r="C94" s="37"/>
      <c r="D94" s="44" t="s">
        <v>83</v>
      </c>
      <c r="E94" s="44"/>
      <c r="F94" s="44"/>
      <c r="G94" s="45"/>
      <c r="H94" s="45">
        <f>SUM(H87:H93)</f>
        <v>545000</v>
      </c>
      <c r="I94" s="40"/>
      <c r="J94" s="40"/>
      <c r="K94" s="39"/>
      <c r="L94" s="37"/>
      <c r="M94" s="39"/>
      <c r="N94" s="41"/>
    </row>
    <row r="95" spans="2:14">
      <c r="B95" s="46"/>
      <c r="C95" s="15"/>
      <c r="D95" s="15"/>
      <c r="E95" s="15"/>
      <c r="F95" s="15"/>
      <c r="G95" s="47"/>
      <c r="H95" s="47"/>
      <c r="I95" s="47"/>
      <c r="J95" s="47"/>
      <c r="K95" s="15"/>
      <c r="L95" s="15"/>
      <c r="M95" s="15"/>
      <c r="N95" s="48"/>
    </row>
    <row r="97" spans="4:17">
      <c r="D97" s="1" t="s">
        <v>96</v>
      </c>
    </row>
    <row r="98" spans="4:17">
      <c r="D98" t="s">
        <v>93</v>
      </c>
    </row>
    <row r="99" spans="4:17">
      <c r="D99" t="s">
        <v>94</v>
      </c>
    </row>
    <row r="100" spans="4:17">
      <c r="D100" t="s">
        <v>95</v>
      </c>
    </row>
    <row r="101" spans="4:17">
      <c r="D101" t="s">
        <v>97</v>
      </c>
    </row>
    <row r="102" spans="4:17">
      <c r="D102" t="s">
        <v>98</v>
      </c>
    </row>
    <row r="103" spans="4:17">
      <c r="D103" t="s">
        <v>99</v>
      </c>
    </row>
    <row r="104" spans="4:17">
      <c r="D104" t="s">
        <v>100</v>
      </c>
    </row>
    <row r="106" spans="4:17">
      <c r="Q106" s="71">
        <v>13333</v>
      </c>
    </row>
    <row r="107" spans="4:17">
      <c r="Q107" s="71">
        <f>6210531818/Q106</f>
        <v>465801.5313882847</v>
      </c>
    </row>
    <row r="108" spans="4:17">
      <c r="Q108" s="71">
        <f>930000000/0.15</f>
        <v>6200000000</v>
      </c>
    </row>
    <row r="109" spans="4:17">
      <c r="Q109">
        <f>4840000000*0.2</f>
        <v>968000000</v>
      </c>
    </row>
    <row r="110" spans="4:17">
      <c r="Q110" s="77">
        <f>Q109/Q106</f>
        <v>72601.815045376134</v>
      </c>
    </row>
    <row r="111" spans="4:17">
      <c r="Q111">
        <f>Q109*6</f>
        <v>5808000000</v>
      </c>
    </row>
    <row r="112" spans="4:17">
      <c r="Q112" s="77">
        <f>Q111/Q106</f>
        <v>435610.8902722568</v>
      </c>
    </row>
    <row r="113" spans="17:17">
      <c r="Q113" s="77">
        <f>(Q108+Q109)/Q106</f>
        <v>537613.44033600844</v>
      </c>
    </row>
  </sheetData>
  <phoneticPr fontId="14" type="noConversion"/>
  <pageMargins left="0.25" right="0.25" top="0.75" bottom="0.75" header="0.3" footer="0.3"/>
  <pageSetup scale="67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v1</vt:lpstr>
      <vt:lpstr>v2</vt:lpstr>
      <vt:lpstr>Sheet3</vt:lpstr>
      <vt:lpstr>v3</vt:lpstr>
      <vt:lpstr>v4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Price</dc:creator>
  <cp:lastModifiedBy>Warren Feek</cp:lastModifiedBy>
  <cp:lastPrinted>2017-08-09T19:28:18Z</cp:lastPrinted>
  <dcterms:created xsi:type="dcterms:W3CDTF">2017-05-23T18:50:37Z</dcterms:created>
  <dcterms:modified xsi:type="dcterms:W3CDTF">2017-11-08T20:13:26Z</dcterms:modified>
</cp:coreProperties>
</file>